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R:\D\SKL\2017\Auswertungen\"/>
    </mc:Choice>
  </mc:AlternateContent>
  <xr:revisionPtr revIDLastSave="0" documentId="10_ncr:100000_{3147D295-92C1-40E7-B438-CF89D9B7160F}" xr6:coauthVersionLast="31" xr6:coauthVersionMax="31" xr10:uidLastSave="{00000000-0000-0000-0000-000000000000}"/>
  <bookViews>
    <workbookView xWindow="120" yWindow="165" windowWidth="23250" windowHeight="14055" firstSheet="1" activeTab="4" xr2:uid="{00000000-000D-0000-FFFF-FFFF00000000}"/>
  </bookViews>
  <sheets>
    <sheet name="Deckblatt" sheetId="19" r:id="rId1"/>
    <sheet name="Fußnoten" sheetId="20" r:id="rId2"/>
    <sheet name="Erläuterungen" sheetId="22" r:id="rId3"/>
    <sheet name="D" sheetId="18" r:id="rId4"/>
    <sheet name="Quoten D" sheetId="21" r:id="rId5"/>
    <sheet name="BW" sheetId="2" r:id="rId6"/>
    <sheet name="BY" sheetId="3" r:id="rId7"/>
    <sheet name="BE" sheetId="4" r:id="rId8"/>
    <sheet name="BB" sheetId="5" r:id="rId9"/>
    <sheet name="HB" sheetId="6" r:id="rId10"/>
    <sheet name="HH" sheetId="7" r:id="rId11"/>
    <sheet name="HE" sheetId="8" r:id="rId12"/>
    <sheet name="MV" sheetId="9" r:id="rId13"/>
    <sheet name="NI" sheetId="10" r:id="rId14"/>
    <sheet name="NW" sheetId="11" r:id="rId15"/>
    <sheet name="RP" sheetId="12" r:id="rId16"/>
    <sheet name="SL" sheetId="13" r:id="rId17"/>
    <sheet name="SN" sheetId="14" r:id="rId18"/>
    <sheet name="ST" sheetId="15" r:id="rId19"/>
    <sheet name="SH" sheetId="16" r:id="rId20"/>
    <sheet name="TH" sheetId="17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Bundesland">#REF!</definedName>
    <definedName name="_xlnm.Print_Area" localSheetId="2">Erläuterungen!$A$1:$G$28</definedName>
    <definedName name="_xlnm.Print_Area" localSheetId="1">Fußnoten!$A$1:$H$28</definedName>
    <definedName name="_xlnm.Print_Titles" localSheetId="8">BB!$A:$C,BB!$1:$6</definedName>
    <definedName name="_xlnm.Print_Titles" localSheetId="7">BE!$A:$C,BE!$1:$6</definedName>
    <definedName name="_xlnm.Print_Titles" localSheetId="5">BW!$A:$C,BW!$1:$6</definedName>
    <definedName name="_xlnm.Print_Titles" localSheetId="6">BY!$A:$C,BY!$1:$6</definedName>
    <definedName name="_xlnm.Print_Titles" localSheetId="3">D!$A:$C,D!$1:$6</definedName>
    <definedName name="_xlnm.Print_Titles" localSheetId="9">HB!$A:$C,HB!$1:$6</definedName>
    <definedName name="_xlnm.Print_Titles" localSheetId="11">HE!$A:$C,HE!$1:$6</definedName>
    <definedName name="_xlnm.Print_Titles" localSheetId="10">HH!$A:$C,HH!$1:$6</definedName>
    <definedName name="_xlnm.Print_Titles" localSheetId="12">MV!$A:$C,MV!$1:$6</definedName>
    <definedName name="_xlnm.Print_Titles" localSheetId="13">NI!$A:$C,NI!$1:$6</definedName>
    <definedName name="_xlnm.Print_Titles" localSheetId="14">NW!$A:$C,NW!$1:$6</definedName>
    <definedName name="_xlnm.Print_Titles" localSheetId="4">'Quoten D'!$A:$C,'Quoten D'!$1:$6</definedName>
    <definedName name="_xlnm.Print_Titles" localSheetId="15">RP!$A:$C,RP!$1:$6</definedName>
    <definedName name="_xlnm.Print_Titles" localSheetId="19">SH!$A:$C,SH!$1:$6</definedName>
    <definedName name="_xlnm.Print_Titles" localSheetId="16">SL!$A:$C,SL!$1:$6</definedName>
    <definedName name="_xlnm.Print_Titles" localSheetId="17">SN!$A:$C,SN!$1:$6</definedName>
    <definedName name="_xlnm.Print_Titles" localSheetId="18">ST!$A:$C,ST!$1:$6</definedName>
    <definedName name="_xlnm.Print_Titles" localSheetId="20">TH!$A:$C,TH!$1:$6</definedName>
  </definedNames>
  <calcPr calcId="179017"/>
</workbook>
</file>

<file path=xl/calcChain.xml><?xml version="1.0" encoding="utf-8"?>
<calcChain xmlns="http://schemas.openxmlformats.org/spreadsheetml/2006/main">
  <c r="E21" i="21" l="1"/>
  <c r="E20" i="21"/>
  <c r="E19" i="21"/>
  <c r="E18" i="21"/>
  <c r="E17" i="21"/>
  <c r="E16" i="21"/>
  <c r="E15" i="21"/>
  <c r="E14" i="21"/>
  <c r="E13" i="21"/>
  <c r="E12" i="21"/>
  <c r="E11" i="21"/>
  <c r="E10" i="21"/>
  <c r="E9" i="21"/>
  <c r="I20" i="17" l="1"/>
  <c r="F20" i="17"/>
  <c r="E20" i="17"/>
  <c r="D20" i="17"/>
  <c r="H20" i="17" s="1"/>
  <c r="I19" i="17"/>
  <c r="H19" i="17"/>
  <c r="E19" i="17"/>
  <c r="D19" i="17"/>
  <c r="I18" i="17"/>
  <c r="E18" i="17"/>
  <c r="D18" i="17"/>
  <c r="H18" i="17" s="1"/>
  <c r="I17" i="17"/>
  <c r="E17" i="17"/>
  <c r="D17" i="17"/>
  <c r="H17" i="17" s="1"/>
  <c r="I16" i="17"/>
  <c r="E16" i="17"/>
  <c r="D16" i="17"/>
  <c r="H16" i="17" s="1"/>
  <c r="I15" i="17"/>
  <c r="E15" i="17"/>
  <c r="D15" i="17"/>
  <c r="H15" i="17" s="1"/>
  <c r="I14" i="17"/>
  <c r="E14" i="17"/>
  <c r="D14" i="17"/>
  <c r="H14" i="17" s="1"/>
  <c r="I13" i="17"/>
  <c r="E13" i="17"/>
  <c r="D13" i="17"/>
  <c r="H13" i="17" s="1"/>
  <c r="I12" i="17"/>
  <c r="E12" i="17"/>
  <c r="D12" i="17"/>
  <c r="I11" i="17"/>
  <c r="E11" i="17"/>
  <c r="D11" i="17"/>
  <c r="I10" i="17"/>
  <c r="F10" i="17"/>
  <c r="I9" i="17"/>
  <c r="G9" i="17"/>
  <c r="F9" i="17"/>
  <c r="E9" i="17"/>
  <c r="D9" i="17"/>
  <c r="H9" i="17" s="1"/>
  <c r="I8" i="17"/>
  <c r="G8" i="17"/>
  <c r="F8" i="17"/>
  <c r="D8" i="17"/>
  <c r="J4" i="17"/>
  <c r="C2" i="17"/>
  <c r="I20" i="16"/>
  <c r="G20" i="16"/>
  <c r="F20" i="16"/>
  <c r="E20" i="16"/>
  <c r="D20" i="16"/>
  <c r="H20" i="16" s="1"/>
  <c r="I19" i="16"/>
  <c r="E19" i="16"/>
  <c r="D19" i="16"/>
  <c r="H19" i="16" s="1"/>
  <c r="I18" i="16"/>
  <c r="E18" i="16"/>
  <c r="D18" i="16"/>
  <c r="H18" i="16" s="1"/>
  <c r="I17" i="16"/>
  <c r="E17" i="16"/>
  <c r="D17" i="16"/>
  <c r="H17" i="16" s="1"/>
  <c r="I16" i="16"/>
  <c r="E16" i="16"/>
  <c r="D16" i="16"/>
  <c r="H16" i="16" s="1"/>
  <c r="I15" i="16"/>
  <c r="E15" i="16"/>
  <c r="D15" i="16"/>
  <c r="H15" i="16" s="1"/>
  <c r="I14" i="16"/>
  <c r="E14" i="16"/>
  <c r="D14" i="16"/>
  <c r="H14" i="16" s="1"/>
  <c r="I13" i="16"/>
  <c r="E13" i="16"/>
  <c r="D13" i="16"/>
  <c r="H13" i="16" s="1"/>
  <c r="I12" i="16"/>
  <c r="E12" i="16"/>
  <c r="D12" i="16"/>
  <c r="H12" i="16" s="1"/>
  <c r="I11" i="16"/>
  <c r="E11" i="16"/>
  <c r="D11" i="16"/>
  <c r="H11" i="16" s="1"/>
  <c r="I10" i="16"/>
  <c r="G10" i="16"/>
  <c r="F10" i="16"/>
  <c r="I9" i="16"/>
  <c r="G9" i="16"/>
  <c r="F9" i="16"/>
  <c r="E9" i="16"/>
  <c r="D9" i="16"/>
  <c r="I8" i="16"/>
  <c r="H8" i="16"/>
  <c r="G8" i="16"/>
  <c r="F8" i="16"/>
  <c r="D8" i="16"/>
  <c r="J4" i="16"/>
  <c r="C2" i="16"/>
  <c r="I20" i="15"/>
  <c r="G20" i="15"/>
  <c r="F20" i="15"/>
  <c r="E20" i="15"/>
  <c r="D20" i="15"/>
  <c r="H20" i="15" s="1"/>
  <c r="I19" i="15"/>
  <c r="E19" i="15"/>
  <c r="D19" i="15"/>
  <c r="H19" i="15" s="1"/>
  <c r="I18" i="15"/>
  <c r="E18" i="15"/>
  <c r="D18" i="15"/>
  <c r="H18" i="15" s="1"/>
  <c r="I17" i="15"/>
  <c r="E17" i="15"/>
  <c r="D17" i="15"/>
  <c r="H17" i="15" s="1"/>
  <c r="I16" i="15"/>
  <c r="E16" i="15"/>
  <c r="D16" i="15"/>
  <c r="J15" i="15"/>
  <c r="I15" i="15"/>
  <c r="E15" i="15"/>
  <c r="D15" i="15"/>
  <c r="H15" i="15" s="1"/>
  <c r="I14" i="15"/>
  <c r="E14" i="15"/>
  <c r="D14" i="15"/>
  <c r="H14" i="15" s="1"/>
  <c r="I13" i="15"/>
  <c r="H13" i="15"/>
  <c r="E13" i="15"/>
  <c r="D13" i="15"/>
  <c r="I12" i="15"/>
  <c r="H12" i="15"/>
  <c r="E12" i="15"/>
  <c r="D12" i="15"/>
  <c r="I11" i="15"/>
  <c r="E11" i="15"/>
  <c r="D11" i="15"/>
  <c r="H11" i="15" s="1"/>
  <c r="I10" i="15"/>
  <c r="G10" i="15"/>
  <c r="F10" i="15"/>
  <c r="I9" i="15"/>
  <c r="G9" i="15"/>
  <c r="F9" i="15"/>
  <c r="E9" i="15"/>
  <c r="D9" i="15"/>
  <c r="J9" i="15" s="1"/>
  <c r="I8" i="15"/>
  <c r="G8" i="15"/>
  <c r="F8" i="15"/>
  <c r="D8" i="15"/>
  <c r="H8" i="15" s="1"/>
  <c r="J4" i="15"/>
  <c r="C2" i="15"/>
  <c r="I20" i="14"/>
  <c r="G20" i="14"/>
  <c r="F20" i="14"/>
  <c r="E20" i="14"/>
  <c r="D20" i="14"/>
  <c r="H20" i="14" s="1"/>
  <c r="I19" i="14"/>
  <c r="E19" i="14"/>
  <c r="D19" i="14"/>
  <c r="I18" i="14"/>
  <c r="E18" i="14"/>
  <c r="D18" i="14"/>
  <c r="I17" i="14"/>
  <c r="E17" i="14"/>
  <c r="D17" i="14"/>
  <c r="I16" i="14"/>
  <c r="E16" i="14"/>
  <c r="D16" i="14"/>
  <c r="I15" i="14"/>
  <c r="E15" i="14"/>
  <c r="D15" i="14"/>
  <c r="H15" i="14" s="1"/>
  <c r="I14" i="14"/>
  <c r="E14" i="14"/>
  <c r="D14" i="14"/>
  <c r="H14" i="14" s="1"/>
  <c r="I13" i="14"/>
  <c r="H13" i="14"/>
  <c r="E13" i="14"/>
  <c r="D13" i="14"/>
  <c r="I12" i="14"/>
  <c r="H12" i="14"/>
  <c r="E12" i="14"/>
  <c r="D12" i="14"/>
  <c r="I11" i="14"/>
  <c r="H11" i="14"/>
  <c r="E11" i="14"/>
  <c r="D11" i="14"/>
  <c r="I10" i="14"/>
  <c r="G10" i="14"/>
  <c r="F10" i="14"/>
  <c r="I9" i="14"/>
  <c r="G9" i="14"/>
  <c r="F9" i="14"/>
  <c r="E9" i="14"/>
  <c r="D9" i="14"/>
  <c r="H9" i="14" s="1"/>
  <c r="I8" i="14"/>
  <c r="G8" i="14"/>
  <c r="F8" i="14"/>
  <c r="D8" i="14"/>
  <c r="H8" i="14" s="1"/>
  <c r="J4" i="14"/>
  <c r="C2" i="14"/>
  <c r="I20" i="13"/>
  <c r="G20" i="13"/>
  <c r="F20" i="13"/>
  <c r="E20" i="13"/>
  <c r="D20" i="13"/>
  <c r="H20" i="13" s="1"/>
  <c r="I19" i="13"/>
  <c r="H19" i="13"/>
  <c r="E19" i="13"/>
  <c r="D19" i="13"/>
  <c r="I18" i="13"/>
  <c r="E18" i="13"/>
  <c r="D18" i="13"/>
  <c r="J18" i="13" s="1"/>
  <c r="I17" i="13"/>
  <c r="E17" i="13"/>
  <c r="D17" i="13"/>
  <c r="H17" i="13" s="1"/>
  <c r="I16" i="13"/>
  <c r="E16" i="13"/>
  <c r="D16" i="13"/>
  <c r="H16" i="13" s="1"/>
  <c r="I15" i="13"/>
  <c r="H15" i="13"/>
  <c r="E15" i="13"/>
  <c r="D15" i="13"/>
  <c r="I14" i="13"/>
  <c r="H14" i="13"/>
  <c r="E14" i="13"/>
  <c r="D14" i="13"/>
  <c r="I13" i="13"/>
  <c r="E13" i="13"/>
  <c r="D13" i="13"/>
  <c r="H13" i="13" s="1"/>
  <c r="I12" i="13"/>
  <c r="H12" i="13"/>
  <c r="E12" i="13"/>
  <c r="D12" i="13"/>
  <c r="I11" i="13"/>
  <c r="H11" i="13"/>
  <c r="E11" i="13"/>
  <c r="D11" i="13"/>
  <c r="I10" i="13"/>
  <c r="G10" i="13"/>
  <c r="F10" i="13"/>
  <c r="I9" i="13"/>
  <c r="G9" i="13"/>
  <c r="F9" i="13"/>
  <c r="E9" i="13"/>
  <c r="D9" i="13"/>
  <c r="H9" i="13" s="1"/>
  <c r="I8" i="13"/>
  <c r="H8" i="13"/>
  <c r="G8" i="13"/>
  <c r="F8" i="13"/>
  <c r="D8" i="13"/>
  <c r="J4" i="13"/>
  <c r="J13" i="13" s="1"/>
  <c r="C2" i="13"/>
  <c r="I20" i="12"/>
  <c r="G20" i="12"/>
  <c r="F20" i="12"/>
  <c r="E20" i="12"/>
  <c r="D20" i="12"/>
  <c r="H20" i="12" s="1"/>
  <c r="I19" i="12"/>
  <c r="E19" i="12"/>
  <c r="D19" i="12"/>
  <c r="H19" i="12" s="1"/>
  <c r="I18" i="12"/>
  <c r="E18" i="12"/>
  <c r="D18" i="12"/>
  <c r="I17" i="12"/>
  <c r="E17" i="12"/>
  <c r="D17" i="12"/>
  <c r="I16" i="12"/>
  <c r="E16" i="12"/>
  <c r="D16" i="12"/>
  <c r="I15" i="12"/>
  <c r="E15" i="12"/>
  <c r="D15" i="12"/>
  <c r="I14" i="12"/>
  <c r="E14" i="12"/>
  <c r="D14" i="12"/>
  <c r="I13" i="12"/>
  <c r="E13" i="12"/>
  <c r="D13" i="12"/>
  <c r="J12" i="12"/>
  <c r="I12" i="12"/>
  <c r="E12" i="12"/>
  <c r="D12" i="12"/>
  <c r="H12" i="12" s="1"/>
  <c r="I11" i="12"/>
  <c r="E11" i="12"/>
  <c r="D11" i="12"/>
  <c r="H11" i="12" s="1"/>
  <c r="I10" i="12"/>
  <c r="G10" i="12"/>
  <c r="F10" i="12"/>
  <c r="I9" i="12"/>
  <c r="G9" i="12"/>
  <c r="F9" i="12"/>
  <c r="E9" i="12"/>
  <c r="D9" i="12"/>
  <c r="H9" i="12" s="1"/>
  <c r="I8" i="12"/>
  <c r="G8" i="12"/>
  <c r="F8" i="12"/>
  <c r="D8" i="12"/>
  <c r="J4" i="12"/>
  <c r="C2" i="12"/>
  <c r="I20" i="11"/>
  <c r="G20" i="11"/>
  <c r="F20" i="11"/>
  <c r="E20" i="11"/>
  <c r="D20" i="11"/>
  <c r="H20" i="11" s="1"/>
  <c r="I19" i="11"/>
  <c r="E19" i="11"/>
  <c r="D19" i="11"/>
  <c r="H19" i="11" s="1"/>
  <c r="I18" i="11"/>
  <c r="E18" i="11"/>
  <c r="D18" i="11"/>
  <c r="I17" i="11"/>
  <c r="E17" i="11"/>
  <c r="D17" i="11"/>
  <c r="H17" i="11" s="1"/>
  <c r="I16" i="11"/>
  <c r="E16" i="11"/>
  <c r="D16" i="11"/>
  <c r="I15" i="11"/>
  <c r="E15" i="11"/>
  <c r="D15" i="11"/>
  <c r="H15" i="11" s="1"/>
  <c r="I14" i="11"/>
  <c r="E14" i="11"/>
  <c r="D14" i="11"/>
  <c r="I13" i="11"/>
  <c r="H13" i="11"/>
  <c r="E13" i="11"/>
  <c r="D13" i="11"/>
  <c r="I12" i="11"/>
  <c r="E12" i="11"/>
  <c r="D12" i="11"/>
  <c r="H12" i="11" s="1"/>
  <c r="I11" i="11"/>
  <c r="E11" i="11"/>
  <c r="D11" i="11"/>
  <c r="H11" i="11" s="1"/>
  <c r="I10" i="11"/>
  <c r="G10" i="11"/>
  <c r="F10" i="11"/>
  <c r="I9" i="11"/>
  <c r="G9" i="11"/>
  <c r="F9" i="11"/>
  <c r="E9" i="11"/>
  <c r="D9" i="11"/>
  <c r="I8" i="11"/>
  <c r="G8" i="11"/>
  <c r="F8" i="11"/>
  <c r="D8" i="11"/>
  <c r="H8" i="11" s="1"/>
  <c r="J4" i="11"/>
  <c r="C2" i="11"/>
  <c r="I20" i="10"/>
  <c r="G20" i="10"/>
  <c r="F20" i="10"/>
  <c r="E20" i="10"/>
  <c r="D20" i="10"/>
  <c r="H20" i="10" s="1"/>
  <c r="I19" i="10"/>
  <c r="E19" i="10"/>
  <c r="D19" i="10"/>
  <c r="H19" i="10" s="1"/>
  <c r="I18" i="10"/>
  <c r="E18" i="10"/>
  <c r="D18" i="10"/>
  <c r="H18" i="10" s="1"/>
  <c r="I17" i="10"/>
  <c r="E17" i="10"/>
  <c r="D17" i="10"/>
  <c r="H17" i="10" s="1"/>
  <c r="I16" i="10"/>
  <c r="E16" i="10"/>
  <c r="D16" i="10"/>
  <c r="H16" i="10" s="1"/>
  <c r="I15" i="10"/>
  <c r="E15" i="10"/>
  <c r="D15" i="10"/>
  <c r="I14" i="10"/>
  <c r="E14" i="10"/>
  <c r="D14" i="10"/>
  <c r="I13" i="10"/>
  <c r="E13" i="10"/>
  <c r="D13" i="10"/>
  <c r="H13" i="10" s="1"/>
  <c r="I12" i="10"/>
  <c r="E12" i="10"/>
  <c r="D12" i="10"/>
  <c r="I11" i="10"/>
  <c r="E11" i="10"/>
  <c r="D11" i="10"/>
  <c r="I10" i="10"/>
  <c r="G10" i="10"/>
  <c r="F10" i="10"/>
  <c r="I9" i="10"/>
  <c r="G9" i="10"/>
  <c r="F9" i="10"/>
  <c r="E9" i="10"/>
  <c r="D9" i="10"/>
  <c r="I8" i="10"/>
  <c r="G8" i="10"/>
  <c r="F8" i="10"/>
  <c r="D8" i="10"/>
  <c r="H8" i="10" s="1"/>
  <c r="J4" i="10"/>
  <c r="J18" i="10" s="1"/>
  <c r="C2" i="10"/>
  <c r="I20" i="9"/>
  <c r="G20" i="9"/>
  <c r="F20" i="9"/>
  <c r="E20" i="9"/>
  <c r="D20" i="9"/>
  <c r="H20" i="9" s="1"/>
  <c r="I19" i="9"/>
  <c r="H19" i="9"/>
  <c r="E19" i="9"/>
  <c r="D19" i="9"/>
  <c r="I18" i="9"/>
  <c r="H18" i="9"/>
  <c r="E18" i="9"/>
  <c r="D18" i="9"/>
  <c r="I17" i="9"/>
  <c r="E17" i="9"/>
  <c r="D17" i="9"/>
  <c r="H17" i="9" s="1"/>
  <c r="I16" i="9"/>
  <c r="E16" i="9"/>
  <c r="D16" i="9"/>
  <c r="J16" i="9" s="1"/>
  <c r="I15" i="9"/>
  <c r="E15" i="9"/>
  <c r="D15" i="9"/>
  <c r="H15" i="9" s="1"/>
  <c r="I14" i="9"/>
  <c r="E14" i="9"/>
  <c r="D14" i="9"/>
  <c r="H14" i="9" s="1"/>
  <c r="I13" i="9"/>
  <c r="E13" i="9"/>
  <c r="D13" i="9"/>
  <c r="H13" i="9" s="1"/>
  <c r="I12" i="9"/>
  <c r="E12" i="9"/>
  <c r="D12" i="9"/>
  <c r="H12" i="9" s="1"/>
  <c r="I11" i="9"/>
  <c r="E11" i="9"/>
  <c r="D11" i="9"/>
  <c r="H11" i="9" s="1"/>
  <c r="I10" i="9"/>
  <c r="G10" i="9"/>
  <c r="F10" i="9"/>
  <c r="I9" i="9"/>
  <c r="G9" i="9"/>
  <c r="F9" i="9"/>
  <c r="E9" i="9"/>
  <c r="D9" i="9"/>
  <c r="H9" i="9" s="1"/>
  <c r="I8" i="9"/>
  <c r="G8" i="9"/>
  <c r="F8" i="9"/>
  <c r="D8" i="9"/>
  <c r="H8" i="9" s="1"/>
  <c r="J4" i="9"/>
  <c r="C2" i="9"/>
  <c r="I20" i="8"/>
  <c r="G20" i="8"/>
  <c r="F20" i="8"/>
  <c r="E20" i="8"/>
  <c r="D20" i="8"/>
  <c r="H20" i="8" s="1"/>
  <c r="I19" i="8"/>
  <c r="E19" i="8"/>
  <c r="D19" i="8"/>
  <c r="I18" i="8"/>
  <c r="E18" i="8"/>
  <c r="D18" i="8"/>
  <c r="H18" i="8" s="1"/>
  <c r="I17" i="8"/>
  <c r="E17" i="8"/>
  <c r="D17" i="8"/>
  <c r="H17" i="8" s="1"/>
  <c r="I16" i="8"/>
  <c r="E16" i="8"/>
  <c r="D16" i="8"/>
  <c r="H16" i="8" s="1"/>
  <c r="I15" i="8"/>
  <c r="E15" i="8"/>
  <c r="D15" i="8"/>
  <c r="H15" i="8" s="1"/>
  <c r="I14" i="8"/>
  <c r="E14" i="8"/>
  <c r="D14" i="8"/>
  <c r="H14" i="8" s="1"/>
  <c r="I13" i="8"/>
  <c r="E13" i="8"/>
  <c r="D13" i="8"/>
  <c r="H13" i="8" s="1"/>
  <c r="I12" i="8"/>
  <c r="E12" i="8"/>
  <c r="D12" i="8"/>
  <c r="H12" i="8" s="1"/>
  <c r="I11" i="8"/>
  <c r="E11" i="8"/>
  <c r="D11" i="8"/>
  <c r="I10" i="8"/>
  <c r="G10" i="8"/>
  <c r="F10" i="8"/>
  <c r="I9" i="8"/>
  <c r="G9" i="8"/>
  <c r="F9" i="8"/>
  <c r="E9" i="8"/>
  <c r="D9" i="8"/>
  <c r="H9" i="8" s="1"/>
  <c r="I8" i="8"/>
  <c r="H8" i="8"/>
  <c r="G8" i="8"/>
  <c r="F8" i="8"/>
  <c r="D8" i="8"/>
  <c r="J4" i="8"/>
  <c r="C2" i="8"/>
  <c r="I20" i="7"/>
  <c r="G20" i="7"/>
  <c r="F20" i="7"/>
  <c r="E20" i="7"/>
  <c r="D20" i="7"/>
  <c r="H20" i="7" s="1"/>
  <c r="I19" i="7"/>
  <c r="E19" i="7"/>
  <c r="D19" i="7"/>
  <c r="I18" i="7"/>
  <c r="E18" i="7"/>
  <c r="D18" i="7"/>
  <c r="H18" i="7" s="1"/>
  <c r="I17" i="7"/>
  <c r="E17" i="7"/>
  <c r="D17" i="7"/>
  <c r="I16" i="7"/>
  <c r="E16" i="7"/>
  <c r="D16" i="7"/>
  <c r="I15" i="7"/>
  <c r="E15" i="7"/>
  <c r="D15" i="7"/>
  <c r="H15" i="7" s="1"/>
  <c r="I14" i="7"/>
  <c r="E14" i="7"/>
  <c r="D14" i="7"/>
  <c r="J14" i="7" s="1"/>
  <c r="I13" i="7"/>
  <c r="E13" i="7"/>
  <c r="D13" i="7"/>
  <c r="I12" i="7"/>
  <c r="E12" i="7"/>
  <c r="D12" i="7"/>
  <c r="I11" i="7"/>
  <c r="E11" i="7"/>
  <c r="D11" i="7"/>
  <c r="H11" i="7" s="1"/>
  <c r="I10" i="7"/>
  <c r="G10" i="7"/>
  <c r="F10" i="7"/>
  <c r="I9" i="7"/>
  <c r="G9" i="7"/>
  <c r="F9" i="7"/>
  <c r="E9" i="7"/>
  <c r="D9" i="7"/>
  <c r="I8" i="7"/>
  <c r="G8" i="7"/>
  <c r="F8" i="7"/>
  <c r="D8" i="7"/>
  <c r="J4" i="7"/>
  <c r="J11" i="7" s="1"/>
  <c r="C2" i="7"/>
  <c r="I20" i="6"/>
  <c r="G20" i="6"/>
  <c r="F20" i="6"/>
  <c r="E20" i="6"/>
  <c r="D20" i="6"/>
  <c r="H20" i="6" s="1"/>
  <c r="I19" i="6"/>
  <c r="E19" i="6"/>
  <c r="D19" i="6"/>
  <c r="H19" i="6" s="1"/>
  <c r="I18" i="6"/>
  <c r="E18" i="6"/>
  <c r="D18" i="6"/>
  <c r="H18" i="6" s="1"/>
  <c r="I17" i="6"/>
  <c r="E17" i="6"/>
  <c r="D17" i="6"/>
  <c r="H17" i="6" s="1"/>
  <c r="I16" i="6"/>
  <c r="E16" i="6"/>
  <c r="D16" i="6"/>
  <c r="H16" i="6" s="1"/>
  <c r="I15" i="6"/>
  <c r="E15" i="6"/>
  <c r="D15" i="6"/>
  <c r="H15" i="6" s="1"/>
  <c r="I14" i="6"/>
  <c r="E14" i="6"/>
  <c r="D14" i="6"/>
  <c r="H14" i="6" s="1"/>
  <c r="I13" i="6"/>
  <c r="E13" i="6"/>
  <c r="D13" i="6"/>
  <c r="I12" i="6"/>
  <c r="E12" i="6"/>
  <c r="D12" i="6"/>
  <c r="H12" i="6" s="1"/>
  <c r="I11" i="6"/>
  <c r="E11" i="6"/>
  <c r="D11" i="6"/>
  <c r="H11" i="6" s="1"/>
  <c r="I10" i="6"/>
  <c r="G10" i="6"/>
  <c r="F10" i="6"/>
  <c r="I9" i="6"/>
  <c r="G9" i="6"/>
  <c r="F9" i="6"/>
  <c r="E9" i="6"/>
  <c r="D9" i="6"/>
  <c r="H9" i="6" s="1"/>
  <c r="I8" i="6"/>
  <c r="G8" i="6"/>
  <c r="F8" i="6"/>
  <c r="D8" i="6"/>
  <c r="H8" i="6" s="1"/>
  <c r="J4" i="6"/>
  <c r="C2" i="6"/>
  <c r="I20" i="5"/>
  <c r="G20" i="5"/>
  <c r="F20" i="5"/>
  <c r="E20" i="5"/>
  <c r="D20" i="5"/>
  <c r="H20" i="5" s="1"/>
  <c r="I19" i="5"/>
  <c r="E19" i="5"/>
  <c r="D19" i="5"/>
  <c r="H19" i="5" s="1"/>
  <c r="I18" i="5"/>
  <c r="E18" i="5"/>
  <c r="D18" i="5"/>
  <c r="H18" i="5" s="1"/>
  <c r="I17" i="5"/>
  <c r="E17" i="5"/>
  <c r="D17" i="5"/>
  <c r="H17" i="5" s="1"/>
  <c r="I16" i="5"/>
  <c r="E16" i="5"/>
  <c r="D16" i="5"/>
  <c r="H16" i="5" s="1"/>
  <c r="I15" i="5"/>
  <c r="E15" i="5"/>
  <c r="D15" i="5"/>
  <c r="H15" i="5" s="1"/>
  <c r="I14" i="5"/>
  <c r="E14" i="5"/>
  <c r="D14" i="5"/>
  <c r="I13" i="5"/>
  <c r="E13" i="5"/>
  <c r="D13" i="5"/>
  <c r="H13" i="5" s="1"/>
  <c r="I12" i="5"/>
  <c r="H12" i="5"/>
  <c r="E12" i="5"/>
  <c r="D12" i="5"/>
  <c r="I11" i="5"/>
  <c r="H11" i="5"/>
  <c r="E11" i="5"/>
  <c r="D11" i="5"/>
  <c r="I10" i="5"/>
  <c r="G10" i="5"/>
  <c r="F10" i="5"/>
  <c r="I9" i="5"/>
  <c r="G9" i="5"/>
  <c r="F9" i="5"/>
  <c r="E9" i="5"/>
  <c r="D9" i="5"/>
  <c r="H9" i="5" s="1"/>
  <c r="I8" i="5"/>
  <c r="H8" i="5"/>
  <c r="G8" i="5"/>
  <c r="F8" i="5"/>
  <c r="D8" i="5"/>
  <c r="J4" i="5"/>
  <c r="J8" i="5" s="1"/>
  <c r="C2" i="5"/>
  <c r="I20" i="4"/>
  <c r="G20" i="4"/>
  <c r="F20" i="4"/>
  <c r="E20" i="4"/>
  <c r="D20" i="4"/>
  <c r="H20" i="4" s="1"/>
  <c r="I19" i="4"/>
  <c r="E19" i="4"/>
  <c r="D19" i="4"/>
  <c r="H19" i="4" s="1"/>
  <c r="I18" i="4"/>
  <c r="E18" i="4"/>
  <c r="D18" i="4"/>
  <c r="I17" i="4"/>
  <c r="E17" i="4"/>
  <c r="D17" i="4"/>
  <c r="I16" i="4"/>
  <c r="E16" i="4"/>
  <c r="D16" i="4"/>
  <c r="H16" i="4" s="1"/>
  <c r="I15" i="4"/>
  <c r="E15" i="4"/>
  <c r="D15" i="4"/>
  <c r="I14" i="4"/>
  <c r="E14" i="4"/>
  <c r="D14" i="4"/>
  <c r="I13" i="4"/>
  <c r="E13" i="4"/>
  <c r="D13" i="4"/>
  <c r="I12" i="4"/>
  <c r="E12" i="4"/>
  <c r="D12" i="4"/>
  <c r="H12" i="4" s="1"/>
  <c r="I11" i="4"/>
  <c r="E11" i="4"/>
  <c r="D11" i="4"/>
  <c r="H11" i="4" s="1"/>
  <c r="I10" i="4"/>
  <c r="G10" i="4"/>
  <c r="F10" i="4"/>
  <c r="I9" i="4"/>
  <c r="G9" i="4"/>
  <c r="F9" i="4"/>
  <c r="E9" i="4"/>
  <c r="D9" i="4"/>
  <c r="I8" i="4"/>
  <c r="G8" i="4"/>
  <c r="F8" i="4"/>
  <c r="D8" i="4"/>
  <c r="J4" i="4"/>
  <c r="J16" i="4" s="1"/>
  <c r="C2" i="4"/>
  <c r="I20" i="3"/>
  <c r="G20" i="3"/>
  <c r="F20" i="3"/>
  <c r="E20" i="3"/>
  <c r="D20" i="3"/>
  <c r="H20" i="3" s="1"/>
  <c r="I19" i="3"/>
  <c r="H19" i="3"/>
  <c r="E19" i="3"/>
  <c r="D19" i="3"/>
  <c r="I18" i="3"/>
  <c r="E18" i="3"/>
  <c r="D18" i="3"/>
  <c r="H18" i="3" s="1"/>
  <c r="I17" i="3"/>
  <c r="E17" i="3"/>
  <c r="D17" i="3"/>
  <c r="I16" i="3"/>
  <c r="E16" i="3"/>
  <c r="D16" i="3"/>
  <c r="I15" i="3"/>
  <c r="E15" i="3"/>
  <c r="D15" i="3"/>
  <c r="I14" i="3"/>
  <c r="E14" i="3"/>
  <c r="D14" i="3"/>
  <c r="H14" i="3" s="1"/>
  <c r="I13" i="3"/>
  <c r="E13" i="3"/>
  <c r="D13" i="3"/>
  <c r="I12" i="3"/>
  <c r="E12" i="3"/>
  <c r="D12" i="3"/>
  <c r="H12" i="3" s="1"/>
  <c r="I11" i="3"/>
  <c r="E11" i="3"/>
  <c r="D11" i="3"/>
  <c r="H11" i="3" s="1"/>
  <c r="I10" i="3"/>
  <c r="G10" i="3"/>
  <c r="F10" i="3"/>
  <c r="I9" i="3"/>
  <c r="G9" i="3"/>
  <c r="F9" i="3"/>
  <c r="E9" i="3"/>
  <c r="D9" i="3"/>
  <c r="H9" i="3" s="1"/>
  <c r="I8" i="3"/>
  <c r="G8" i="3"/>
  <c r="F8" i="3"/>
  <c r="D8" i="3"/>
  <c r="H8" i="3" s="1"/>
  <c r="J4" i="3"/>
  <c r="C2" i="3"/>
  <c r="I20" i="2"/>
  <c r="G20" i="2"/>
  <c r="F20" i="2"/>
  <c r="E20" i="2"/>
  <c r="D20" i="2"/>
  <c r="H20" i="2" s="1"/>
  <c r="I19" i="2"/>
  <c r="E19" i="2"/>
  <c r="D19" i="2"/>
  <c r="J19" i="2" s="1"/>
  <c r="I18" i="2"/>
  <c r="E18" i="2"/>
  <c r="D18" i="2"/>
  <c r="J18" i="2" s="1"/>
  <c r="J17" i="2"/>
  <c r="I17" i="2"/>
  <c r="E17" i="2"/>
  <c r="D17" i="2"/>
  <c r="H17" i="2" s="1"/>
  <c r="I16" i="2"/>
  <c r="E16" i="2"/>
  <c r="D16" i="2"/>
  <c r="I15" i="2"/>
  <c r="H15" i="2"/>
  <c r="E15" i="2"/>
  <c r="D15" i="2"/>
  <c r="I14" i="2"/>
  <c r="H14" i="2"/>
  <c r="E14" i="2"/>
  <c r="D14" i="2"/>
  <c r="I13" i="2"/>
  <c r="E13" i="2"/>
  <c r="D13" i="2"/>
  <c r="I12" i="2"/>
  <c r="E12" i="2"/>
  <c r="D12" i="2"/>
  <c r="J12" i="2" s="1"/>
  <c r="I11" i="2"/>
  <c r="E11" i="2"/>
  <c r="D11" i="2"/>
  <c r="I10" i="2"/>
  <c r="G10" i="2"/>
  <c r="F10" i="2"/>
  <c r="I9" i="2"/>
  <c r="G9" i="2"/>
  <c r="F9" i="2"/>
  <c r="E9" i="2"/>
  <c r="D9" i="2"/>
  <c r="H9" i="2" s="1"/>
  <c r="I8" i="2"/>
  <c r="G8" i="2"/>
  <c r="F8" i="2"/>
  <c r="D8" i="2"/>
  <c r="H8" i="2" s="1"/>
  <c r="J4" i="2"/>
  <c r="C2" i="2"/>
  <c r="C2" i="21"/>
  <c r="C2" i="18"/>
  <c r="J9" i="2" l="1"/>
  <c r="J13" i="7"/>
  <c r="J9" i="7"/>
  <c r="J12" i="7"/>
  <c r="J15" i="7"/>
  <c r="J17" i="7"/>
  <c r="J19" i="8"/>
  <c r="J13" i="2"/>
  <c r="H18" i="2"/>
  <c r="H19" i="2"/>
  <c r="J12" i="4"/>
  <c r="J16" i="7"/>
  <c r="J11" i="8"/>
  <c r="J9" i="9"/>
  <c r="J8" i="11"/>
  <c r="J14" i="12"/>
  <c r="H14" i="12"/>
  <c r="J18" i="12"/>
  <c r="H18" i="12"/>
  <c r="J19" i="14"/>
  <c r="H19" i="14"/>
  <c r="J18" i="17"/>
  <c r="J17" i="17"/>
  <c r="H8" i="7"/>
  <c r="J8" i="7"/>
  <c r="J15" i="10"/>
  <c r="J18" i="11"/>
  <c r="H18" i="11"/>
  <c r="J17" i="12"/>
  <c r="H17" i="12"/>
  <c r="H18" i="14"/>
  <c r="J18" i="14"/>
  <c r="J11" i="2"/>
  <c r="H11" i="2"/>
  <c r="J18" i="4"/>
  <c r="H18" i="4"/>
  <c r="H19" i="7"/>
  <c r="J19" i="7"/>
  <c r="J16" i="11"/>
  <c r="H16" i="11"/>
  <c r="J15" i="12"/>
  <c r="H15" i="12"/>
  <c r="J8" i="3"/>
  <c r="H14" i="10"/>
  <c r="J14" i="10"/>
  <c r="H16" i="12"/>
  <c r="J16" i="12"/>
  <c r="J8" i="12"/>
  <c r="J8" i="13"/>
  <c r="J14" i="13"/>
  <c r="J11" i="15"/>
  <c r="J16" i="15"/>
  <c r="J9" i="17"/>
  <c r="J15" i="3"/>
  <c r="J16" i="3"/>
  <c r="J17" i="3"/>
  <c r="J13" i="4"/>
  <c r="J14" i="4"/>
  <c r="J15" i="4"/>
  <c r="J17" i="4"/>
  <c r="J9" i="10"/>
  <c r="J11" i="10"/>
  <c r="J12" i="10"/>
  <c r="J13" i="12"/>
  <c r="J16" i="14"/>
  <c r="J17" i="14"/>
  <c r="J8" i="17"/>
  <c r="J11" i="17"/>
  <c r="J12" i="17"/>
  <c r="J8" i="4"/>
  <c r="J9" i="4"/>
  <c r="J14" i="5"/>
  <c r="J11" i="6"/>
  <c r="J12" i="6"/>
  <c r="J13" i="6"/>
  <c r="J9" i="8"/>
  <c r="J13" i="8"/>
  <c r="J15" i="8"/>
  <c r="J12" i="9"/>
  <c r="J18" i="9"/>
  <c r="J14" i="11"/>
  <c r="J14" i="2"/>
  <c r="J15" i="2"/>
  <c r="J16" i="2"/>
  <c r="J9" i="3"/>
  <c r="J11" i="3"/>
  <c r="J12" i="3"/>
  <c r="J13" i="3"/>
  <c r="H15" i="3"/>
  <c r="H16" i="3"/>
  <c r="J19" i="3"/>
  <c r="H13" i="4"/>
  <c r="H14" i="4"/>
  <c r="H15" i="4"/>
  <c r="J12" i="5"/>
  <c r="J18" i="5"/>
  <c r="J16" i="6"/>
  <c r="J17" i="6"/>
  <c r="H13" i="7"/>
  <c r="H14" i="7"/>
  <c r="H16" i="7"/>
  <c r="H17" i="7"/>
  <c r="H11" i="10"/>
  <c r="H12" i="10"/>
  <c r="J16" i="10"/>
  <c r="J17" i="10"/>
  <c r="J19" i="10"/>
  <c r="J12" i="13"/>
  <c r="J9" i="14"/>
  <c r="J11" i="14"/>
  <c r="J12" i="14"/>
  <c r="J13" i="14"/>
  <c r="H16" i="14"/>
  <c r="J12" i="15"/>
  <c r="J13" i="15"/>
  <c r="H11" i="17"/>
  <c r="H12" i="17"/>
  <c r="J15" i="17"/>
  <c r="J16" i="17"/>
  <c r="J19" i="17"/>
  <c r="J14" i="3"/>
  <c r="J18" i="3"/>
  <c r="H9" i="4"/>
  <c r="J11" i="4"/>
  <c r="J19" i="4"/>
  <c r="J9" i="5"/>
  <c r="J15" i="5"/>
  <c r="J16" i="5"/>
  <c r="J17" i="5"/>
  <c r="J15" i="6"/>
  <c r="J8" i="2"/>
  <c r="H12" i="2"/>
  <c r="H16" i="2"/>
  <c r="H13" i="3"/>
  <c r="H17" i="3"/>
  <c r="H8" i="4"/>
  <c r="H17" i="4"/>
  <c r="H14" i="5"/>
  <c r="J9" i="6"/>
  <c r="H13" i="6"/>
  <c r="J18" i="6"/>
  <c r="H12" i="7"/>
  <c r="H11" i="8"/>
  <c r="J14" i="8"/>
  <c r="J16" i="8"/>
  <c r="H19" i="8"/>
  <c r="J8" i="9"/>
  <c r="J11" i="9"/>
  <c r="J13" i="9"/>
  <c r="H16" i="9"/>
  <c r="J19" i="9"/>
  <c r="J8" i="10"/>
  <c r="H15" i="10"/>
  <c r="J11" i="11"/>
  <c r="H14" i="11"/>
  <c r="J17" i="11"/>
  <c r="J19" i="11"/>
  <c r="H8" i="12"/>
  <c r="J9" i="12"/>
  <c r="H13" i="12"/>
  <c r="H18" i="13"/>
  <c r="J14" i="14"/>
  <c r="H17" i="14"/>
  <c r="J8" i="15"/>
  <c r="H16" i="15"/>
  <c r="J11" i="16"/>
  <c r="J12" i="16"/>
  <c r="J15" i="16"/>
  <c r="J16" i="16"/>
  <c r="J19" i="16"/>
  <c r="H8" i="17"/>
  <c r="H13" i="2"/>
  <c r="J11" i="5"/>
  <c r="J13" i="5"/>
  <c r="J19" i="5"/>
  <c r="J8" i="6"/>
  <c r="J19" i="6"/>
  <c r="J18" i="7"/>
  <c r="J17" i="8"/>
  <c r="J14" i="9"/>
  <c r="H9" i="10"/>
  <c r="J13" i="10"/>
  <c r="J12" i="11"/>
  <c r="J11" i="12"/>
  <c r="J19" i="12"/>
  <c r="J9" i="13"/>
  <c r="J15" i="13"/>
  <c r="J16" i="13"/>
  <c r="J17" i="13"/>
  <c r="J15" i="14"/>
  <c r="H9" i="15"/>
  <c r="J14" i="15"/>
  <c r="J13" i="16"/>
  <c r="J14" i="16"/>
  <c r="J17" i="16"/>
  <c r="J18" i="16"/>
  <c r="J14" i="6"/>
  <c r="J8" i="8"/>
  <c r="J12" i="8"/>
  <c r="J18" i="8"/>
  <c r="J15" i="9"/>
  <c r="J17" i="9"/>
  <c r="J9" i="11"/>
  <c r="H9" i="11"/>
  <c r="J13" i="11"/>
  <c r="J15" i="11"/>
  <c r="J18" i="15"/>
  <c r="J19" i="15"/>
  <c r="J8" i="16"/>
  <c r="J13" i="17"/>
  <c r="J14" i="17"/>
  <c r="H9" i="7"/>
  <c r="J11" i="13"/>
  <c r="J19" i="13"/>
  <c r="J8" i="14"/>
  <c r="J17" i="15"/>
  <c r="J9" i="16"/>
  <c r="H9" i="16"/>
  <c r="I5" i="21"/>
  <c r="G20" i="18"/>
  <c r="F20" i="18"/>
  <c r="D9" i="21" l="1"/>
  <c r="E10" i="4"/>
  <c r="E8" i="4" s="1"/>
  <c r="E10" i="6"/>
  <c r="E8" i="6" s="1"/>
  <c r="E10" i="8"/>
  <c r="E8" i="8" s="1"/>
  <c r="E10" i="10"/>
  <c r="E8" i="10" s="1"/>
  <c r="E10" i="12"/>
  <c r="E8" i="12" s="1"/>
  <c r="E10" i="14"/>
  <c r="E8" i="14" s="1"/>
  <c r="E10" i="16"/>
  <c r="E8" i="16" s="1"/>
  <c r="E10" i="2"/>
  <c r="E8" i="2" s="1"/>
  <c r="E10" i="17"/>
  <c r="E8" i="17" s="1"/>
  <c r="E10" i="3"/>
  <c r="E8" i="3" s="1"/>
  <c r="E10" i="9"/>
  <c r="E8" i="9" s="1"/>
  <c r="E10" i="11"/>
  <c r="E8" i="11" s="1"/>
  <c r="E10" i="13"/>
  <c r="E8" i="13" s="1"/>
  <c r="E10" i="15"/>
  <c r="E8" i="15" s="1"/>
  <c r="E10" i="5"/>
  <c r="E8" i="5" s="1"/>
  <c r="E10" i="7"/>
  <c r="E8" i="7" s="1"/>
  <c r="K8" i="6"/>
  <c r="K8" i="7"/>
  <c r="K8" i="8"/>
  <c r="K8" i="9"/>
  <c r="K8" i="10"/>
  <c r="K8" i="11"/>
  <c r="K8" i="12"/>
  <c r="K8" i="13"/>
  <c r="K8" i="14"/>
  <c r="K8" i="15"/>
  <c r="K8" i="16"/>
  <c r="K8" i="17"/>
  <c r="D10" i="17"/>
  <c r="K11" i="17"/>
  <c r="K12" i="17"/>
  <c r="K13" i="17"/>
  <c r="K14" i="17"/>
  <c r="K15" i="17"/>
  <c r="K16" i="17"/>
  <c r="K17" i="17"/>
  <c r="K18" i="17"/>
  <c r="K19" i="17"/>
  <c r="K9" i="4"/>
  <c r="D10" i="4"/>
  <c r="K11" i="4"/>
  <c r="K12" i="4"/>
  <c r="K13" i="4"/>
  <c r="K14" i="4"/>
  <c r="K15" i="4"/>
  <c r="K16" i="4"/>
  <c r="K17" i="4"/>
  <c r="K18" i="4"/>
  <c r="K19" i="4"/>
  <c r="K9" i="3"/>
  <c r="D10" i="3"/>
  <c r="K11" i="3"/>
  <c r="K12" i="3"/>
  <c r="K13" i="3"/>
  <c r="K14" i="3"/>
  <c r="K15" i="3"/>
  <c r="K16" i="3"/>
  <c r="K17" i="3"/>
  <c r="K18" i="3"/>
  <c r="K19" i="3"/>
  <c r="K9" i="6"/>
  <c r="D10" i="6"/>
  <c r="K11" i="6"/>
  <c r="K12" i="6"/>
  <c r="K13" i="6"/>
  <c r="K14" i="6"/>
  <c r="K15" i="6"/>
  <c r="K16" i="6"/>
  <c r="K17" i="6"/>
  <c r="K18" i="6"/>
  <c r="K19" i="6"/>
  <c r="K9" i="7"/>
  <c r="D10" i="7"/>
  <c r="K11" i="7"/>
  <c r="K12" i="7"/>
  <c r="K13" i="7"/>
  <c r="K14" i="7"/>
  <c r="K15" i="7"/>
  <c r="K16" i="7"/>
  <c r="K17" i="7"/>
  <c r="K18" i="7"/>
  <c r="K19" i="7"/>
  <c r="K9" i="8"/>
  <c r="D10" i="8"/>
  <c r="K11" i="8"/>
  <c r="K12" i="8"/>
  <c r="K13" i="8"/>
  <c r="K14" i="8"/>
  <c r="K15" i="8"/>
  <c r="K16" i="8"/>
  <c r="K17" i="8"/>
  <c r="K18" i="8"/>
  <c r="K19" i="8"/>
  <c r="K9" i="9"/>
  <c r="D10" i="9"/>
  <c r="K11" i="9"/>
  <c r="K12" i="9"/>
  <c r="K13" i="9"/>
  <c r="K14" i="9"/>
  <c r="K15" i="9"/>
  <c r="K16" i="9"/>
  <c r="K17" i="9"/>
  <c r="K18" i="9"/>
  <c r="K19" i="9"/>
  <c r="K9" i="10"/>
  <c r="D10" i="10"/>
  <c r="K11" i="10"/>
  <c r="K12" i="10"/>
  <c r="K13" i="10"/>
  <c r="K14" i="10"/>
  <c r="K15" i="10"/>
  <c r="K16" i="10"/>
  <c r="K17" i="10"/>
  <c r="K18" i="10"/>
  <c r="K19" i="10"/>
  <c r="K9" i="11"/>
  <c r="D10" i="11"/>
  <c r="K11" i="11"/>
  <c r="K12" i="11"/>
  <c r="K13" i="11"/>
  <c r="K14" i="11"/>
  <c r="K15" i="11"/>
  <c r="K16" i="11"/>
  <c r="K17" i="11"/>
  <c r="K18" i="11"/>
  <c r="K19" i="11"/>
  <c r="K9" i="12"/>
  <c r="D10" i="12"/>
  <c r="K11" i="12"/>
  <c r="K12" i="12"/>
  <c r="K13" i="12"/>
  <c r="K14" i="12"/>
  <c r="K15" i="12"/>
  <c r="K16" i="12"/>
  <c r="K17" i="12"/>
  <c r="K18" i="12"/>
  <c r="K19" i="12"/>
  <c r="K9" i="13"/>
  <c r="D10" i="13"/>
  <c r="K11" i="13"/>
  <c r="K12" i="13"/>
  <c r="K13" i="13"/>
  <c r="K14" i="13"/>
  <c r="K15" i="13"/>
  <c r="K16" i="13"/>
  <c r="K17" i="13"/>
  <c r="K18" i="13"/>
  <c r="K19" i="13"/>
  <c r="K9" i="14"/>
  <c r="D10" i="14"/>
  <c r="K11" i="14"/>
  <c r="K12" i="14"/>
  <c r="K13" i="14"/>
  <c r="K14" i="14"/>
  <c r="K15" i="14"/>
  <c r="K16" i="14"/>
  <c r="K17" i="14"/>
  <c r="K18" i="14"/>
  <c r="K19" i="14"/>
  <c r="K9" i="15"/>
  <c r="D10" i="15"/>
  <c r="K11" i="15"/>
  <c r="K12" i="15"/>
  <c r="K13" i="15"/>
  <c r="K14" i="15"/>
  <c r="K15" i="15"/>
  <c r="K16" i="15"/>
  <c r="K17" i="15"/>
  <c r="K18" i="15"/>
  <c r="K19" i="15"/>
  <c r="K9" i="16"/>
  <c r="D10" i="16"/>
  <c r="K11" i="16"/>
  <c r="K12" i="16"/>
  <c r="K13" i="16"/>
  <c r="K14" i="16"/>
  <c r="K15" i="16"/>
  <c r="K16" i="16"/>
  <c r="K17" i="16"/>
  <c r="K18" i="16"/>
  <c r="K19" i="16"/>
  <c r="K9" i="17"/>
  <c r="K8" i="4"/>
  <c r="K8" i="3"/>
  <c r="K8" i="5"/>
  <c r="K9" i="2"/>
  <c r="D10" i="2"/>
  <c r="K11" i="2"/>
  <c r="K12" i="2"/>
  <c r="K13" i="2"/>
  <c r="K14" i="2"/>
  <c r="K15" i="2"/>
  <c r="K16" i="2"/>
  <c r="K17" i="2"/>
  <c r="K18" i="2"/>
  <c r="K19" i="2"/>
  <c r="K9" i="5"/>
  <c r="K11" i="5"/>
  <c r="D10" i="5"/>
  <c r="K12" i="5"/>
  <c r="K13" i="5"/>
  <c r="K14" i="5"/>
  <c r="K15" i="5"/>
  <c r="K16" i="5"/>
  <c r="K17" i="5"/>
  <c r="K18" i="5"/>
  <c r="K19" i="5"/>
  <c r="K8" i="2"/>
  <c r="J10" i="15" l="1"/>
  <c r="H10" i="15"/>
  <c r="J10" i="16"/>
  <c r="H10" i="16"/>
  <c r="H10" i="5"/>
  <c r="J10" i="5"/>
  <c r="H10" i="2"/>
  <c r="J10" i="2"/>
  <c r="J10" i="13"/>
  <c r="H10" i="13"/>
  <c r="J10" i="9"/>
  <c r="H10" i="9"/>
  <c r="J10" i="3"/>
  <c r="H10" i="3"/>
  <c r="H10" i="14"/>
  <c r="J10" i="14"/>
  <c r="H10" i="10"/>
  <c r="J10" i="10"/>
  <c r="H10" i="6"/>
  <c r="J10" i="6"/>
  <c r="H10" i="11"/>
  <c r="J10" i="11"/>
  <c r="H10" i="7"/>
  <c r="J10" i="7"/>
  <c r="H10" i="17"/>
  <c r="J10" i="17"/>
  <c r="J10" i="12"/>
  <c r="H10" i="12"/>
  <c r="J10" i="8"/>
  <c r="H10" i="8"/>
  <c r="J10" i="4"/>
  <c r="H10" i="4"/>
  <c r="K10" i="16"/>
  <c r="K10" i="15"/>
  <c r="K10" i="14"/>
  <c r="K10" i="12"/>
  <c r="K10" i="10"/>
  <c r="K10" i="8"/>
  <c r="K10" i="6"/>
  <c r="K10" i="4"/>
  <c r="K10" i="13"/>
  <c r="K10" i="11"/>
  <c r="K10" i="9"/>
  <c r="K10" i="7"/>
  <c r="K10" i="3"/>
  <c r="K10" i="17"/>
  <c r="K10" i="5"/>
  <c r="K10" i="2"/>
  <c r="G9" i="18"/>
  <c r="G10" i="18"/>
  <c r="F8" i="18"/>
  <c r="F9" i="18"/>
  <c r="F10" i="18"/>
  <c r="E20" i="18"/>
  <c r="E19" i="18"/>
  <c r="E18" i="18"/>
  <c r="E17" i="18"/>
  <c r="E16" i="18"/>
  <c r="E15" i="18"/>
  <c r="E14" i="18"/>
  <c r="E13" i="18"/>
  <c r="E12" i="18"/>
  <c r="E11" i="18"/>
  <c r="D21" i="21"/>
  <c r="D20" i="21"/>
  <c r="J20" i="21" s="1"/>
  <c r="D19" i="21"/>
  <c r="J19" i="21" s="1"/>
  <c r="D18" i="21"/>
  <c r="J18" i="21" s="1"/>
  <c r="D17" i="21"/>
  <c r="J17" i="21" s="1"/>
  <c r="D16" i="21"/>
  <c r="J16" i="21" s="1"/>
  <c r="D15" i="21"/>
  <c r="J15" i="21" s="1"/>
  <c r="D14" i="21"/>
  <c r="J14" i="21" s="1"/>
  <c r="D13" i="21"/>
  <c r="J13" i="21" s="1"/>
  <c r="D12" i="21"/>
  <c r="J12" i="21" s="1"/>
  <c r="D8" i="18"/>
  <c r="D10" i="21"/>
  <c r="J10" i="21" s="1"/>
  <c r="D9" i="18"/>
  <c r="D19" i="18"/>
  <c r="D18" i="18"/>
  <c r="D17" i="18"/>
  <c r="D16" i="18"/>
  <c r="D15" i="18"/>
  <c r="D14" i="18"/>
  <c r="D13" i="18"/>
  <c r="D12" i="18"/>
  <c r="G8" i="18"/>
  <c r="E9" i="18"/>
  <c r="D11" i="18"/>
  <c r="D20" i="18"/>
  <c r="J9" i="21" l="1"/>
  <c r="E8" i="18"/>
  <c r="E10" i="18"/>
  <c r="D11" i="21"/>
  <c r="J11" i="21" s="1"/>
  <c r="D10" i="18"/>
  <c r="F9" i="21" l="1"/>
  <c r="F21" i="21"/>
  <c r="F13" i="21"/>
  <c r="F19" i="21" l="1"/>
  <c r="H19" i="21"/>
  <c r="F15" i="21"/>
  <c r="H15" i="21" s="1"/>
  <c r="F17" i="21"/>
  <c r="H17" i="21"/>
  <c r="F14" i="21"/>
  <c r="H14" i="21" s="1"/>
  <c r="F18" i="21"/>
  <c r="H18" i="21"/>
  <c r="F20" i="21"/>
  <c r="H20" i="21" s="1"/>
  <c r="H9" i="21"/>
  <c r="F12" i="21"/>
  <c r="H12" i="21" s="1"/>
  <c r="H13" i="21"/>
  <c r="I13" i="21"/>
  <c r="G13" i="21"/>
  <c r="G9" i="21"/>
  <c r="I9" i="21"/>
  <c r="F16" i="21" l="1"/>
  <c r="H16" i="21"/>
  <c r="I18" i="21"/>
  <c r="G18" i="21"/>
  <c r="I15" i="21"/>
  <c r="G15" i="21"/>
  <c r="G12" i="21"/>
  <c r="I12" i="21"/>
  <c r="F10" i="21"/>
  <c r="H10" i="21"/>
  <c r="I20" i="21"/>
  <c r="G20" i="21"/>
  <c r="G14" i="21"/>
  <c r="I14" i="21"/>
  <c r="G17" i="21"/>
  <c r="I17" i="21"/>
  <c r="G19" i="21"/>
  <c r="I19" i="21"/>
  <c r="I10" i="21" l="1"/>
  <c r="G10" i="21"/>
  <c r="I16" i="21"/>
  <c r="G16" i="21"/>
  <c r="F11" i="21" l="1"/>
  <c r="H11" i="21" l="1"/>
  <c r="G11" i="21"/>
  <c r="I1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Henselin</author>
  </authors>
  <commentList>
    <comment ref="I6" authorId="0" shapeId="0" xr:uid="{00000000-0006-0000-0400-000001000000}">
      <text>
        <r>
          <rPr>
            <sz val="9"/>
            <color indexed="81"/>
            <rFont val="Tahoma"/>
            <family val="2"/>
          </rPr>
          <t>Anteil der Schülerinnen und Schüler, die sonderpädagogische Förderung erhalten, an allen Schülerinnen und Schüler an allgemeinbildenden Schulen der Klassen 1 bis 10.</t>
        </r>
      </text>
    </comment>
    <comment ref="J6" authorId="0" shapeId="0" xr:uid="{00000000-0006-0000-0400-000002000000}">
      <text>
        <r>
          <rPr>
            <sz val="9"/>
            <color indexed="81"/>
            <rFont val="Tahoma"/>
            <family val="2"/>
          </rPr>
          <t>Anteil der Schülerinnen und Schüler, die sonderpädagogische Förderung an Förderschulen erhalten, an allen Schülerinnen und Schüler an allgemeinbildenden Schulen der Klassen 1 bis 10.</t>
        </r>
      </text>
    </comment>
  </commentList>
</comments>
</file>

<file path=xl/sharedStrings.xml><?xml version="1.0" encoding="utf-8"?>
<sst xmlns="http://schemas.openxmlformats.org/spreadsheetml/2006/main" count="607" uniqueCount="91">
  <si>
    <t>Förderschulen (Sonderschulen)</t>
  </si>
  <si>
    <t>Schuljahr:</t>
  </si>
  <si>
    <t>Land:</t>
  </si>
  <si>
    <r>
      <t>Förderschwerpunkte</t>
    </r>
    <r>
      <rPr>
        <b/>
        <vertAlign val="superscript"/>
        <sz val="8"/>
        <rFont val="Arial Narrow"/>
        <family val="2"/>
      </rPr>
      <t>1)</t>
    </r>
  </si>
  <si>
    <t>Grunddaten</t>
  </si>
  <si>
    <t>Schüler</t>
  </si>
  <si>
    <t>darunter</t>
  </si>
  <si>
    <t>Klassen</t>
  </si>
  <si>
    <t>Lehrer</t>
  </si>
  <si>
    <t>Ausländer</t>
  </si>
  <si>
    <t>Förderschulen insgesamt</t>
  </si>
  <si>
    <t>Förderschwerpunkt Lernen</t>
  </si>
  <si>
    <t>sonstige Förderschwerpunkte zusammen</t>
  </si>
  <si>
    <t>Sehen</t>
  </si>
  <si>
    <t>Hören</t>
  </si>
  <si>
    <t>Sprache</t>
  </si>
  <si>
    <t>Körperliche und motorische Entwicklung</t>
  </si>
  <si>
    <t>Geistige Entwicklung</t>
  </si>
  <si>
    <t>Emotionale und soziale Entwicklung</t>
  </si>
  <si>
    <t>Förderschwerpunkt übergreifend</t>
  </si>
  <si>
    <t>Lernen, Sprache, emotionale und soziale Entwicklung (LSE)</t>
  </si>
  <si>
    <t>noch keinem Förderschwerpunkt zugeordnet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</si>
  <si>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</si>
  <si>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</si>
  <si>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</si>
  <si>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</si>
  <si>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</si>
  <si>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</si>
  <si>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</si>
  <si>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</si>
  <si>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</si>
  <si>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</si>
  <si>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</si>
  <si>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</si>
  <si>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</si>
  <si>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</si>
  <si>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</si>
  <si>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</si>
  <si>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</t>
  </si>
  <si>
    <t xml:space="preserve">Sekretariat der Ständigen Konferenz </t>
  </si>
  <si>
    <t>der Kultusminister der Länder</t>
  </si>
  <si>
    <t>in der Bundesrepublik Deutschland</t>
  </si>
  <si>
    <t>IVC/Statistik</t>
  </si>
  <si>
    <t>Land</t>
  </si>
  <si>
    <t>Zelle</t>
  </si>
  <si>
    <t>Fußnotentext</t>
  </si>
  <si>
    <t>Hamburg</t>
  </si>
  <si>
    <t>Noch keinem Förder-schwerpunkt zugeordnet</t>
  </si>
  <si>
    <t>Seit dem Schuljahr 2011/12 wird der sonderpädagogische Förderschwerpunkt "Autismus" erhoben. Die Schülerinnen und Schüler mit diesem Förderschwerpunkt sind unter "noch keinem Förderschwerpunkt zugeordnet" ausgewiesen.</t>
  </si>
  <si>
    <t>Sachsen</t>
  </si>
  <si>
    <t>Spalte: 
darunter: Ausländer</t>
  </si>
  <si>
    <t xml:space="preserve">Es liegen nur Angaben zu Migranten vor. </t>
  </si>
  <si>
    <t xml:space="preserve">Für die Förderschwerpunkte "Kranke", "Förderschwerpunkt übergreifend", "LSE" und "keinem Förderschwerpunkt zugeordnet" liegen keine Daten vor. </t>
  </si>
  <si>
    <t>Länderkürzel</t>
  </si>
  <si>
    <t>Deutschland insgesamt</t>
  </si>
  <si>
    <t>Baden-Württemberg</t>
  </si>
  <si>
    <t>Bayern</t>
  </si>
  <si>
    <t>Berlin</t>
  </si>
  <si>
    <t>Brandenburg</t>
  </si>
  <si>
    <t>Bremen</t>
  </si>
  <si>
    <t>Hessen</t>
  </si>
  <si>
    <t>Mecklenburg-Vorpommern</t>
  </si>
  <si>
    <t>Niedersachsen</t>
  </si>
  <si>
    <t>Nordrhein-Westfalen</t>
  </si>
  <si>
    <t>Rheinland-Pfalz</t>
  </si>
  <si>
    <t>Saarland</t>
  </si>
  <si>
    <t>Sachsen-Anhalt</t>
  </si>
  <si>
    <t>Schleswig-Holstein</t>
  </si>
  <si>
    <t>Thüringen</t>
  </si>
  <si>
    <t>Erläuterung:</t>
  </si>
  <si>
    <t>Fußnoten</t>
  </si>
  <si>
    <t>Schüler mit sonderpädagogischer Förderung an</t>
  </si>
  <si>
    <t>Förderschulen</t>
  </si>
  <si>
    <t>allgemeinen Schulen</t>
  </si>
  <si>
    <t>Anteil der Schüler mit sonderpädagogischer Förderung an</t>
  </si>
  <si>
    <t>insgesamt</t>
  </si>
  <si>
    <t>Förderquote</t>
  </si>
  <si>
    <t>Förderschulbesuchsquote</t>
  </si>
  <si>
    <t>Schülerinnen und Schüler an allgemeinbildenden Schulen der Klassen 1 bis 10:</t>
  </si>
  <si>
    <t>Quoten D</t>
  </si>
  <si>
    <t>allgemein</t>
  </si>
  <si>
    <r>
      <t xml:space="preserve">Auf Grund eines geänderten Erhebungsverfahrens werden die zum Ende des ersten Schulhalbjahres ausgewiesenen </t>
    </r>
    <r>
      <rPr>
        <b/>
        <sz val="10"/>
        <rFont val="Arial"/>
        <family val="2"/>
      </rPr>
      <t>Föderbedarfe</t>
    </r>
    <r>
      <rPr>
        <sz val="10"/>
        <rFont val="Arial"/>
        <family val="2"/>
      </rPr>
      <t xml:space="preserve"> berichtet. </t>
    </r>
  </si>
  <si>
    <t>Schulen für Kranke</t>
  </si>
  <si>
    <t>Quoten</t>
  </si>
  <si>
    <t>Schülerinnen und Schüler an allgemeinbildenden Schulen der Klassen 1 bis 10 (einschließlich Förderschulen):</t>
  </si>
  <si>
    <t>An Sonderpädagogischen Förderzentren wurde als Förderschwerpunkt der Klasse im Vergleich zum Vorjahr vermehrt der Förderschwerpunkt "Lernen, Sprache, emotionale und soziale Entwicklung" statt "Lernen" eingetragen.</t>
  </si>
  <si>
    <t>Diese Auswertung erscheint ergänzend zur statistischen Veröffentlichung "Sonderpädagogische Förderung in Schulen", die im Zwei-Jahres-Rhythmus veröffentlicht wird und die Entwicklungen der letzten 10 Jahre darstellt. Die nächste Dokumentation erscheint voraussichtlich im Januar 2020 mit den Daten für das Schuljahr 2018/19. Ältere Ausgaben dieser statistischen Veröffentlichung finden Sie unter:
https://www.kmk.org/dokumentation-und-statistik/statistik/schulstatistik/sonderpaedagogische-foerderung-an-schulen.html
In der vorliegenden Datensammlung wird die sonderpädagogische Förderung an Förderschulen dargestellt. Daten zur sonderpädagogischen Förderung an allgemeinen Schulen erhalten Sie ebenfalls auf unserer Internetseite unter: 
https://www.kmk.org/dokumentation-und-statistik/statistik/schulstatistik/sonderpaedagogische-foerderung-an-schulen.html
Definitionen zu dieser Datensammlung können Sie in unserem Defintionenkatalog zur Schulstatistik (S. 32 ff.) finden: 
https://www.kmk.org/fileadmin/Dateien/pdf/Statistik/Defkat2017.pdf</t>
  </si>
  <si>
    <r>
      <t>allgemeinen Schulen</t>
    </r>
    <r>
      <rPr>
        <b/>
        <vertAlign val="superscript"/>
        <sz val="8"/>
        <rFont val="Arial Narrow"/>
        <family val="2"/>
      </rPr>
      <t>1)</t>
    </r>
  </si>
  <si>
    <t xml:space="preserve">Anmerkung: Aufgrund einer Nachmeldung aus Bayern zu den sonderpädagogisch geförderten Schülerinnen und Schüler stimmen die Quoten und Summen nicht mit der ersten Fassung dieser Auswertung überein. </t>
  </si>
  <si>
    <t>Berlin, den 14.02.2020</t>
  </si>
  <si>
    <t>Sonderpädagogische Förderung
in Förderschulen
(Sonderschulen)
2017/2018
korrigierte 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</si>
</sst>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_-;\-#,##0_-;_-* &quot;-&quot;??_-;_-@_-"/>
    <numFmt numFmtId="166" formatCode="0.0"/>
    <numFmt numFmtId="167" formatCode="#,##0.0_-;\-#,##0.0_-;_-* &quot;-&quot;??_-;_-@_-"/>
  </numFmts>
  <fonts count="25">
    <font>
      <sz val="10"/>
      <name val="NewCenturySchlbk"/>
    </font>
    <font>
      <sz val="11"/>
      <color theme="1"/>
      <name val="Calibri"/>
      <family val="2"/>
      <scheme val="minor"/>
    </font>
    <font>
      <sz val="10"/>
      <name val="NewCenturySchlbk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7" fillId="4" borderId="15"/>
    <xf numFmtId="0" fontId="7" fillId="0" borderId="12"/>
    <xf numFmtId="0" fontId="8" fillId="2" borderId="0">
      <alignment horizontal="center"/>
    </xf>
    <xf numFmtId="0" fontId="9" fillId="2" borderId="0">
      <alignment horizontal="center"/>
    </xf>
    <xf numFmtId="0" fontId="10" fillId="5" borderId="15" applyBorder="0">
      <protection locked="0"/>
    </xf>
    <xf numFmtId="0" fontId="11" fillId="2" borderId="12">
      <alignment horizontal="left"/>
    </xf>
    <xf numFmtId="0" fontId="12" fillId="2" borderId="0">
      <alignment horizontal="left"/>
    </xf>
    <xf numFmtId="0" fontId="13" fillId="6" borderId="0">
      <alignment horizontal="right" vertical="top" wrapText="1"/>
    </xf>
    <xf numFmtId="0" fontId="14" fillId="0" borderId="0" applyNumberFormat="0" applyFill="0" applyBorder="0" applyAlignment="0" applyProtection="0"/>
    <xf numFmtId="0" fontId="15" fillId="2" borderId="12">
      <alignment horizontal="centerContinuous" wrapText="1"/>
    </xf>
    <xf numFmtId="164" fontId="2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7" fillId="2" borderId="2">
      <alignment wrapText="1"/>
    </xf>
    <xf numFmtId="0" fontId="7" fillId="2" borderId="14"/>
    <xf numFmtId="0" fontId="7" fillId="2" borderId="10"/>
    <xf numFmtId="0" fontId="7" fillId="2" borderId="16">
      <alignment horizontal="center" wrapText="1"/>
    </xf>
    <xf numFmtId="0" fontId="7" fillId="0" borderId="0"/>
    <xf numFmtId="0" fontId="7" fillId="2" borderId="12"/>
    <xf numFmtId="0" fontId="2" fillId="0" borderId="0"/>
    <xf numFmtId="0" fontId="1" fillId="0" borderId="0"/>
    <xf numFmtId="0" fontId="17" fillId="2" borderId="0"/>
  </cellStyleXfs>
  <cellXfs count="198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7" xfId="1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20"/>
    <xf numFmtId="0" fontId="15" fillId="0" borderId="0" xfId="20" applyFont="1" applyAlignment="1">
      <alignment horizontal="right"/>
    </xf>
    <xf numFmtId="0" fontId="2" fillId="0" borderId="0" xfId="20" applyAlignment="1">
      <alignment horizontal="center"/>
    </xf>
    <xf numFmtId="0" fontId="15" fillId="0" borderId="17" xfId="20" applyFont="1" applyBorder="1"/>
    <xf numFmtId="0" fontId="15" fillId="0" borderId="0" xfId="20" applyFont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4" fillId="3" borderId="0" xfId="0" applyFont="1" applyFill="1" applyBorder="1" applyAlignment="1">
      <alignment horizontal="center" vertical="center" wrapText="1"/>
    </xf>
    <xf numFmtId="165" fontId="5" fillId="8" borderId="1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165" fontId="4" fillId="8" borderId="1" xfId="1" applyNumberFormat="1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24" xfId="1" applyNumberFormat="1" applyFont="1" applyFill="1" applyBorder="1" applyAlignment="1">
      <alignment vertical="center"/>
    </xf>
    <xf numFmtId="166" fontId="4" fillId="0" borderId="25" xfId="0" applyNumberFormat="1" applyFont="1" applyFill="1" applyBorder="1" applyAlignment="1">
      <alignment vertical="center"/>
    </xf>
    <xf numFmtId="165" fontId="4" fillId="7" borderId="19" xfId="1" applyNumberFormat="1" applyFont="1" applyFill="1" applyBorder="1" applyAlignment="1">
      <alignment vertical="center"/>
    </xf>
    <xf numFmtId="165" fontId="4" fillId="7" borderId="20" xfId="1" applyNumberFormat="1" applyFont="1" applyFill="1" applyBorder="1" applyAlignment="1">
      <alignment vertical="center"/>
    </xf>
    <xf numFmtId="166" fontId="4" fillId="7" borderId="21" xfId="0" applyNumberFormat="1" applyFont="1" applyFill="1" applyBorder="1" applyAlignment="1">
      <alignment vertical="center"/>
    </xf>
    <xf numFmtId="165" fontId="5" fillId="8" borderId="2" xfId="1" applyNumberFormat="1" applyFont="1" applyFill="1" applyBorder="1" applyAlignment="1">
      <alignment vertical="center"/>
    </xf>
    <xf numFmtId="165" fontId="4" fillId="8" borderId="2" xfId="1" applyNumberFormat="1" applyFont="1" applyFill="1" applyBorder="1" applyAlignment="1">
      <alignment vertical="center"/>
    </xf>
    <xf numFmtId="166" fontId="4" fillId="8" borderId="3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165" fontId="5" fillId="0" borderId="26" xfId="1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0" fontId="4" fillId="8" borderId="29" xfId="0" quotePrefix="1" applyFont="1" applyFill="1" applyBorder="1" applyAlignment="1">
      <alignment horizontal="left" vertical="center"/>
    </xf>
    <xf numFmtId="0" fontId="5" fillId="8" borderId="30" xfId="0" applyFont="1" applyFill="1" applyBorder="1" applyAlignment="1">
      <alignment horizontal="left" vertical="center"/>
    </xf>
    <xf numFmtId="165" fontId="5" fillId="8" borderId="29" xfId="1" applyNumberFormat="1" applyFont="1" applyFill="1" applyBorder="1" applyAlignment="1" applyProtection="1">
      <alignment vertical="center"/>
      <protection locked="0"/>
    </xf>
    <xf numFmtId="0" fontId="5" fillId="8" borderId="30" xfId="0" applyFont="1" applyFill="1" applyBorder="1" applyAlignment="1">
      <alignment vertical="center"/>
    </xf>
    <xf numFmtId="166" fontId="5" fillId="8" borderId="31" xfId="0" applyNumberFormat="1" applyFont="1" applyFill="1" applyBorder="1" applyAlignment="1">
      <alignment vertical="center"/>
    </xf>
    <xf numFmtId="0" fontId="4" fillId="0" borderId="29" xfId="0" quotePrefix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65" fontId="5" fillId="0" borderId="29" xfId="1" applyNumberFormat="1" applyFont="1" applyFill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0" fontId="4" fillId="8" borderId="29" xfId="0" applyFont="1" applyFill="1" applyBorder="1" applyAlignment="1">
      <alignment horizontal="left" vertical="center"/>
    </xf>
    <xf numFmtId="0" fontId="5" fillId="8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5" fillId="3" borderId="8" xfId="0" applyFont="1" applyFill="1" applyBorder="1" applyAlignment="1">
      <alignment vertical="center"/>
    </xf>
    <xf numFmtId="165" fontId="4" fillId="7" borderId="21" xfId="1" applyNumberFormat="1" applyFont="1" applyFill="1" applyBorder="1" applyAlignment="1">
      <alignment vertical="center"/>
    </xf>
    <xf numFmtId="165" fontId="4" fillId="0" borderId="25" xfId="1" applyNumberFormat="1" applyFont="1" applyFill="1" applyBorder="1" applyAlignment="1">
      <alignment vertical="center"/>
    </xf>
    <xf numFmtId="165" fontId="4" fillId="8" borderId="3" xfId="1" applyNumberFormat="1" applyFont="1" applyFill="1" applyBorder="1" applyAlignment="1">
      <alignment vertical="center"/>
    </xf>
    <xf numFmtId="165" fontId="5" fillId="0" borderId="28" xfId="1" applyNumberFormat="1" applyFont="1" applyFill="1" applyBorder="1" applyAlignment="1">
      <alignment vertical="center"/>
    </xf>
    <xf numFmtId="165" fontId="5" fillId="8" borderId="31" xfId="1" applyNumberFormat="1" applyFont="1" applyFill="1" applyBorder="1" applyAlignment="1">
      <alignment vertical="center"/>
    </xf>
    <xf numFmtId="165" fontId="5" fillId="0" borderId="31" xfId="1" applyNumberFormat="1" applyFont="1" applyFill="1" applyBorder="1" applyAlignment="1">
      <alignment vertical="center"/>
    </xf>
    <xf numFmtId="166" fontId="4" fillId="7" borderId="19" xfId="0" applyNumberFormat="1" applyFont="1" applyFill="1" applyBorder="1" applyAlignment="1">
      <alignment vertical="center"/>
    </xf>
    <xf numFmtId="166" fontId="4" fillId="0" borderId="23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vertical="center"/>
    </xf>
    <xf numFmtId="166" fontId="5" fillId="0" borderId="26" xfId="0" applyNumberFormat="1" applyFont="1" applyBorder="1" applyAlignment="1">
      <alignment vertical="center"/>
    </xf>
    <xf numFmtId="166" fontId="5" fillId="8" borderId="29" xfId="0" applyNumberFormat="1" applyFont="1" applyFill="1" applyBorder="1" applyAlignment="1">
      <alignment vertical="center"/>
    </xf>
    <xf numFmtId="166" fontId="5" fillId="0" borderId="29" xfId="0" applyNumberFormat="1" applyFont="1" applyBorder="1" applyAlignment="1">
      <alignment vertical="center"/>
    </xf>
    <xf numFmtId="166" fontId="4" fillId="7" borderId="18" xfId="0" applyNumberFormat="1" applyFont="1" applyFill="1" applyBorder="1" applyAlignment="1">
      <alignment vertical="center"/>
    </xf>
    <xf numFmtId="166" fontId="4" fillId="0" borderId="22" xfId="0" applyNumberFormat="1" applyFont="1" applyFill="1" applyBorder="1" applyAlignment="1">
      <alignment vertical="center"/>
    </xf>
    <xf numFmtId="166" fontId="4" fillId="8" borderId="12" xfId="0" applyNumberFormat="1" applyFont="1" applyFill="1" applyBorder="1" applyAlignment="1">
      <alignment vertical="center"/>
    </xf>
    <xf numFmtId="166" fontId="5" fillId="0" borderId="32" xfId="0" applyNumberFormat="1" applyFont="1" applyBorder="1" applyAlignment="1">
      <alignment vertical="center"/>
    </xf>
    <xf numFmtId="166" fontId="5" fillId="8" borderId="33" xfId="0" applyNumberFormat="1" applyFont="1" applyFill="1" applyBorder="1" applyAlignment="1">
      <alignment vertical="center"/>
    </xf>
    <xf numFmtId="166" fontId="5" fillId="0" borderId="33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5" fillId="8" borderId="3" xfId="1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  <xf numFmtId="165" fontId="5" fillId="3" borderId="8" xfId="1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165" fontId="5" fillId="7" borderId="19" xfId="1" applyNumberFormat="1" applyFont="1" applyFill="1" applyBorder="1" applyAlignment="1">
      <alignment vertical="center"/>
    </xf>
    <xf numFmtId="165" fontId="5" fillId="7" borderId="20" xfId="1" applyNumberFormat="1" applyFont="1" applyFill="1" applyBorder="1" applyAlignment="1">
      <alignment vertical="center"/>
    </xf>
    <xf numFmtId="165" fontId="5" fillId="7" borderId="21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165" fontId="5" fillId="8" borderId="30" xfId="1" applyNumberFormat="1" applyFont="1" applyFill="1" applyBorder="1" applyAlignment="1" applyProtection="1">
      <alignment vertical="center"/>
      <protection locked="0"/>
    </xf>
    <xf numFmtId="165" fontId="5" fillId="3" borderId="35" xfId="1" applyNumberFormat="1" applyFont="1" applyFill="1" applyBorder="1" applyAlignment="1">
      <alignment horizontal="center" vertical="center"/>
    </xf>
    <xf numFmtId="165" fontId="5" fillId="3" borderId="36" xfId="1" applyNumberFormat="1" applyFont="1" applyFill="1" applyBorder="1" applyAlignment="1">
      <alignment horizontal="center" vertical="center"/>
    </xf>
    <xf numFmtId="0" fontId="15" fillId="0" borderId="0" xfId="20" applyFont="1" applyFill="1" applyAlignment="1">
      <alignment wrapText="1"/>
    </xf>
    <xf numFmtId="0" fontId="15" fillId="0" borderId="0" xfId="20" applyFont="1" applyFill="1"/>
    <xf numFmtId="0" fontId="15" fillId="0" borderId="0" xfId="20" applyFont="1" applyFill="1" applyAlignment="1">
      <alignment horizontal="left" vertical="top" wrapText="1"/>
    </xf>
    <xf numFmtId="0" fontId="15" fillId="0" borderId="0" xfId="20" applyFont="1" applyFill="1" applyAlignment="1">
      <alignment horizontal="left" vertical="top" wrapText="1"/>
    </xf>
    <xf numFmtId="0" fontId="5" fillId="8" borderId="2" xfId="0" applyFont="1" applyFill="1" applyBorder="1" applyAlignment="1">
      <alignment horizontal="left" vertical="center"/>
    </xf>
    <xf numFmtId="165" fontId="5" fillId="8" borderId="1" xfId="1" applyNumberFormat="1" applyFont="1" applyFill="1" applyBorder="1" applyAlignment="1" applyProtection="1">
      <alignment vertical="center"/>
      <protection locked="0"/>
    </xf>
    <xf numFmtId="165" fontId="5" fillId="8" borderId="2" xfId="1" applyNumberFormat="1" applyFont="1" applyFill="1" applyBorder="1" applyAlignment="1" applyProtection="1">
      <alignment vertical="center"/>
      <protection locked="0"/>
    </xf>
    <xf numFmtId="0" fontId="4" fillId="0" borderId="39" xfId="0" quotePrefix="1" applyFont="1" applyFill="1" applyBorder="1" applyAlignment="1">
      <alignment horizontal="left" vertical="center"/>
    </xf>
    <xf numFmtId="0" fontId="4" fillId="8" borderId="1" xfId="0" quotePrefix="1" applyFont="1" applyFill="1" applyBorder="1" applyAlignment="1">
      <alignment horizontal="left" vertical="center"/>
    </xf>
    <xf numFmtId="165" fontId="5" fillId="8" borderId="3" xfId="1" applyNumberFormat="1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167" fontId="5" fillId="7" borderId="19" xfId="1" applyNumberFormat="1" applyFont="1" applyFill="1" applyBorder="1" applyAlignment="1">
      <alignment vertical="center"/>
    </xf>
    <xf numFmtId="167" fontId="5" fillId="7" borderId="20" xfId="1" applyNumberFormat="1" applyFont="1" applyFill="1" applyBorder="1" applyAlignment="1">
      <alignment vertical="center"/>
    </xf>
    <xf numFmtId="167" fontId="5" fillId="0" borderId="7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 applyProtection="1">
      <alignment vertical="center"/>
      <protection locked="0"/>
    </xf>
    <xf numFmtId="167" fontId="5" fillId="8" borderId="1" xfId="1" applyNumberFormat="1" applyFont="1" applyFill="1" applyBorder="1" applyAlignment="1">
      <alignment vertical="center"/>
    </xf>
    <xf numFmtId="167" fontId="5" fillId="8" borderId="2" xfId="1" applyNumberFormat="1" applyFont="1" applyFill="1" applyBorder="1" applyAlignment="1">
      <alignment vertical="center"/>
    </xf>
    <xf numFmtId="167" fontId="5" fillId="0" borderId="7" xfId="1" applyNumberFormat="1" applyFont="1" applyFill="1" applyBorder="1" applyAlignment="1" applyProtection="1">
      <alignment vertical="center"/>
      <protection locked="0"/>
    </xf>
    <xf numFmtId="167" fontId="5" fillId="8" borderId="29" xfId="1" applyNumberFormat="1" applyFont="1" applyFill="1" applyBorder="1" applyAlignment="1" applyProtection="1">
      <alignment vertical="center"/>
      <protection locked="0"/>
    </xf>
    <xf numFmtId="167" fontId="5" fillId="8" borderId="30" xfId="1" applyNumberFormat="1" applyFont="1" applyFill="1" applyBorder="1" applyAlignment="1" applyProtection="1">
      <alignment vertical="center"/>
      <protection locked="0"/>
    </xf>
    <xf numFmtId="167" fontId="5" fillId="8" borderId="1" xfId="1" applyNumberFormat="1" applyFont="1" applyFill="1" applyBorder="1" applyAlignment="1" applyProtection="1">
      <alignment vertical="center"/>
      <protection locked="0"/>
    </xf>
    <xf numFmtId="167" fontId="5" fillId="8" borderId="2" xfId="1" applyNumberFormat="1" applyFont="1" applyFill="1" applyBorder="1" applyAlignment="1" applyProtection="1">
      <alignment vertical="center"/>
      <protection locked="0"/>
    </xf>
    <xf numFmtId="167" fontId="5" fillId="9" borderId="1" xfId="1" applyNumberFormat="1" applyFont="1" applyFill="1" applyBorder="1" applyAlignment="1" applyProtection="1">
      <alignment vertical="center"/>
      <protection locked="0"/>
    </xf>
    <xf numFmtId="167" fontId="5" fillId="7" borderId="21" xfId="1" applyNumberFormat="1" applyFont="1" applyFill="1" applyBorder="1" applyAlignment="1">
      <alignment vertical="center"/>
    </xf>
    <xf numFmtId="167" fontId="5" fillId="0" borderId="8" xfId="1" applyNumberFormat="1" applyFont="1" applyFill="1" applyBorder="1" applyAlignment="1" applyProtection="1">
      <alignment vertical="center"/>
      <protection locked="0"/>
    </xf>
    <xf numFmtId="167" fontId="5" fillId="8" borderId="3" xfId="1" applyNumberFormat="1" applyFont="1" applyFill="1" applyBorder="1" applyAlignment="1">
      <alignment vertical="center"/>
    </xf>
    <xf numFmtId="167" fontId="5" fillId="8" borderId="31" xfId="1" applyNumberFormat="1" applyFont="1" applyFill="1" applyBorder="1" applyAlignment="1" applyProtection="1">
      <alignment vertical="center"/>
      <protection locked="0"/>
    </xf>
    <xf numFmtId="167" fontId="5" fillId="9" borderId="3" xfId="1" applyNumberFormat="1" applyFont="1" applyFill="1" applyBorder="1" applyAlignment="1" applyProtection="1">
      <alignment vertical="center"/>
      <protection locked="0"/>
    </xf>
    <xf numFmtId="0" fontId="15" fillId="0" borderId="0" xfId="20" applyFont="1" applyAlignment="1">
      <alignment vertical="top"/>
    </xf>
    <xf numFmtId="0" fontId="2" fillId="0" borderId="0" xfId="20" applyAlignment="1">
      <alignment vertical="top"/>
    </xf>
    <xf numFmtId="165" fontId="5" fillId="0" borderId="39" xfId="1" applyNumberFormat="1" applyFont="1" applyFill="1" applyBorder="1" applyAlignment="1" applyProtection="1">
      <alignment vertical="center"/>
      <protection locked="0"/>
    </xf>
    <xf numFmtId="0" fontId="5" fillId="0" borderId="37" xfId="0" applyFont="1" applyBorder="1" applyAlignment="1">
      <alignment vertical="center"/>
    </xf>
    <xf numFmtId="165" fontId="5" fillId="0" borderId="38" xfId="1" applyNumberFormat="1" applyFont="1" applyFill="1" applyBorder="1" applyAlignment="1">
      <alignment vertical="center"/>
    </xf>
    <xf numFmtId="166" fontId="5" fillId="0" borderId="39" xfId="0" applyNumberFormat="1" applyFont="1" applyBorder="1" applyAlignment="1">
      <alignment vertical="center"/>
    </xf>
    <xf numFmtId="166" fontId="5" fillId="0" borderId="38" xfId="0" applyNumberFormat="1" applyFont="1" applyBorder="1" applyAlignment="1">
      <alignment vertical="center"/>
    </xf>
    <xf numFmtId="166" fontId="5" fillId="0" borderId="40" xfId="0" applyNumberFormat="1" applyFont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18" fillId="0" borderId="0" xfId="20" applyFont="1" applyAlignment="1">
      <alignment horizontal="center" vertical="center" wrapText="1"/>
    </xf>
    <xf numFmtId="0" fontId="15" fillId="0" borderId="0" xfId="20" applyFont="1" applyAlignment="1">
      <alignment horizontal="center"/>
    </xf>
    <xf numFmtId="0" fontId="15" fillId="0" borderId="0" xfId="20" applyFont="1" applyAlignment="1">
      <alignment wrapText="1"/>
    </xf>
    <xf numFmtId="0" fontId="15" fillId="0" borderId="0" xfId="20" applyFont="1" applyAlignment="1"/>
    <xf numFmtId="0" fontId="15" fillId="0" borderId="0" xfId="20" applyFont="1" applyFill="1" applyAlignment="1">
      <alignment horizontal="left" vertical="top" wrapText="1"/>
    </xf>
    <xf numFmtId="0" fontId="19" fillId="0" borderId="0" xfId="20" applyFont="1" applyAlignment="1">
      <alignment horizontal="left"/>
    </xf>
    <xf numFmtId="0" fontId="15" fillId="0" borderId="0" xfId="20" applyFont="1" applyAlignment="1">
      <alignment horizontal="left"/>
    </xf>
    <xf numFmtId="0" fontId="15" fillId="0" borderId="17" xfId="20" applyFont="1" applyBorder="1" applyAlignment="1"/>
    <xf numFmtId="0" fontId="15" fillId="0" borderId="0" xfId="20" applyFont="1" applyFill="1" applyAlignment="1">
      <alignment horizontal="left" vertical="top"/>
    </xf>
    <xf numFmtId="0" fontId="15" fillId="0" borderId="0" xfId="2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</cellXfs>
  <cellStyles count="23">
    <cellStyle name="bin" xfId="2" xr:uid="{00000000-0005-0000-0000-000000000000}"/>
    <cellStyle name="cell" xfId="3" xr:uid="{00000000-0005-0000-0000-000001000000}"/>
    <cellStyle name="Col&amp;RowHeadings" xfId="4" xr:uid="{00000000-0005-0000-0000-000002000000}"/>
    <cellStyle name="column" xfId="5" xr:uid="{00000000-0005-0000-0000-000003000000}"/>
    <cellStyle name="DataEntryCells" xfId="6" xr:uid="{00000000-0005-0000-0000-000004000000}"/>
    <cellStyle name="formula" xfId="7" xr:uid="{00000000-0005-0000-0000-000005000000}"/>
    <cellStyle name="gap" xfId="8" xr:uid="{00000000-0005-0000-0000-000006000000}"/>
    <cellStyle name="GreyBackground" xfId="9" xr:uid="{00000000-0005-0000-0000-000007000000}"/>
    <cellStyle name="Hyperlink 2" xfId="10" xr:uid="{00000000-0005-0000-0000-000008000000}"/>
    <cellStyle name="isced" xfId="11" xr:uid="{00000000-0005-0000-0000-000009000000}"/>
    <cellStyle name="Komma" xfId="1" builtinId="3"/>
    <cellStyle name="Komma 2" xfId="12" xr:uid="{00000000-0005-0000-0000-00000B000000}"/>
    <cellStyle name="Komma0" xfId="13" xr:uid="{00000000-0005-0000-0000-00000C000000}"/>
    <cellStyle name="level1a" xfId="14" xr:uid="{00000000-0005-0000-0000-00000D000000}"/>
    <cellStyle name="level2" xfId="15" xr:uid="{00000000-0005-0000-0000-00000E000000}"/>
    <cellStyle name="level2a" xfId="16" xr:uid="{00000000-0005-0000-0000-00000F000000}"/>
    <cellStyle name="level3" xfId="17" xr:uid="{00000000-0005-0000-0000-000010000000}"/>
    <cellStyle name="Normal_ENRL7" xfId="18" xr:uid="{00000000-0005-0000-0000-000011000000}"/>
    <cellStyle name="row" xfId="19" xr:uid="{00000000-0005-0000-0000-000012000000}"/>
    <cellStyle name="Standard" xfId="0" builtinId="0"/>
    <cellStyle name="Standard 2" xfId="20" xr:uid="{00000000-0005-0000-0000-000014000000}"/>
    <cellStyle name="Standard 3" xfId="21" xr:uid="{00000000-0005-0000-0000-000015000000}"/>
    <cellStyle name="title1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BW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N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R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S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S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SH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TH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Auswertungen\Aus_SoP&#228;_Int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B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B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B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H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H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H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M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btIV\RefIVC\D\SKL\2017\Lm\SKL2017_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49659</v>
          </cell>
          <cell r="E40">
            <v>5893</v>
          </cell>
          <cell r="F40">
            <v>11510.49</v>
          </cell>
        </row>
        <row r="41">
          <cell r="D41">
            <v>16253</v>
          </cell>
          <cell r="E41">
            <v>1604</v>
          </cell>
          <cell r="F41">
            <v>2323.61</v>
          </cell>
        </row>
        <row r="42">
          <cell r="E42">
            <v>4289</v>
          </cell>
          <cell r="F42">
            <v>8773.4699999999993</v>
          </cell>
        </row>
        <row r="43">
          <cell r="E43">
            <v>0</v>
          </cell>
          <cell r="F43">
            <v>413.41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3690</v>
          </cell>
        </row>
      </sheetData>
      <sheetData sheetId="10"/>
      <sheetData sheetId="11"/>
      <sheetData sheetId="12">
        <row r="4">
          <cell r="J4">
            <v>998787</v>
          </cell>
        </row>
        <row r="8">
          <cell r="D8">
            <v>49659</v>
          </cell>
        </row>
        <row r="9">
          <cell r="D9">
            <v>16253</v>
          </cell>
          <cell r="E9">
            <v>3820</v>
          </cell>
        </row>
        <row r="10">
          <cell r="D10">
            <v>30924</v>
          </cell>
        </row>
        <row r="11">
          <cell r="D11">
            <v>961</v>
          </cell>
          <cell r="E11">
            <v>151</v>
          </cell>
        </row>
        <row r="12">
          <cell r="D12">
            <v>1785</v>
          </cell>
          <cell r="E12">
            <v>171</v>
          </cell>
        </row>
        <row r="13">
          <cell r="D13">
            <v>5864</v>
          </cell>
          <cell r="E13">
            <v>700</v>
          </cell>
        </row>
        <row r="14">
          <cell r="D14">
            <v>5341</v>
          </cell>
          <cell r="E14">
            <v>687</v>
          </cell>
        </row>
        <row r="15">
          <cell r="D15">
            <v>8998</v>
          </cell>
          <cell r="E15">
            <v>1726</v>
          </cell>
        </row>
        <row r="16">
          <cell r="D16">
            <v>7975</v>
          </cell>
          <cell r="E16">
            <v>887</v>
          </cell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>
            <v>2482</v>
          </cell>
          <cell r="E20">
            <v>184</v>
          </cell>
        </row>
      </sheetData>
      <sheetData sheetId="13">
        <row r="7">
          <cell r="D7">
            <v>27085</v>
          </cell>
        </row>
        <row r="8">
          <cell r="D8">
            <v>13987</v>
          </cell>
        </row>
        <row r="9">
          <cell r="D9">
            <v>12891</v>
          </cell>
        </row>
        <row r="10">
          <cell r="D10">
            <v>714</v>
          </cell>
        </row>
        <row r="11">
          <cell r="D11">
            <v>1630</v>
          </cell>
        </row>
        <row r="12">
          <cell r="D12">
            <v>2400</v>
          </cell>
        </row>
        <row r="13">
          <cell r="D13">
            <v>1306</v>
          </cell>
        </row>
        <row r="14">
          <cell r="D14">
            <v>841</v>
          </cell>
        </row>
        <row r="15">
          <cell r="D15">
            <v>6000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207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77166</v>
          </cell>
          <cell r="E40">
            <v>6978</v>
          </cell>
          <cell r="F40">
            <v>14097</v>
          </cell>
        </row>
        <row r="41">
          <cell r="D41">
            <v>16650</v>
          </cell>
          <cell r="E41">
            <v>1742</v>
          </cell>
          <cell r="F41">
            <v>3010</v>
          </cell>
        </row>
        <row r="42">
          <cell r="E42">
            <v>4808</v>
          </cell>
          <cell r="F42">
            <v>10613</v>
          </cell>
        </row>
        <row r="43">
          <cell r="E43">
            <v>428</v>
          </cell>
          <cell r="F43">
            <v>474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5647</v>
          </cell>
        </row>
      </sheetData>
      <sheetData sheetId="10"/>
      <sheetData sheetId="11"/>
      <sheetData sheetId="12">
        <row r="4">
          <cell r="J4">
            <v>1660792</v>
          </cell>
        </row>
        <row r="8">
          <cell r="D8">
            <v>77166</v>
          </cell>
        </row>
        <row r="9">
          <cell r="D9">
            <v>16650</v>
          </cell>
          <cell r="E9">
            <v>2586</v>
          </cell>
        </row>
        <row r="10">
          <cell r="D10">
            <v>58000</v>
          </cell>
        </row>
        <row r="11">
          <cell r="D11">
            <v>1421</v>
          </cell>
          <cell r="E11">
            <v>233</v>
          </cell>
        </row>
        <row r="12">
          <cell r="D12">
            <v>2674</v>
          </cell>
          <cell r="E12">
            <v>438</v>
          </cell>
        </row>
        <row r="13">
          <cell r="D13">
            <v>10921</v>
          </cell>
          <cell r="E13">
            <v>860</v>
          </cell>
        </row>
        <row r="14">
          <cell r="D14">
            <v>7190</v>
          </cell>
          <cell r="E14">
            <v>838</v>
          </cell>
        </row>
        <row r="15">
          <cell r="D15">
            <v>19425</v>
          </cell>
          <cell r="E15">
            <v>3126</v>
          </cell>
        </row>
        <row r="16">
          <cell r="D16">
            <v>16320</v>
          </cell>
          <cell r="E16">
            <v>1215</v>
          </cell>
        </row>
        <row r="17">
          <cell r="D17"/>
          <cell r="E17"/>
        </row>
        <row r="18">
          <cell r="D18"/>
          <cell r="E18"/>
        </row>
        <row r="19">
          <cell r="D19">
            <v>49</v>
          </cell>
          <cell r="E19">
            <v>1</v>
          </cell>
        </row>
        <row r="20">
          <cell r="D20">
            <v>2516</v>
          </cell>
          <cell r="E20">
            <v>117</v>
          </cell>
        </row>
      </sheetData>
      <sheetData sheetId="13">
        <row r="7">
          <cell r="D7">
            <v>56241</v>
          </cell>
        </row>
        <row r="8">
          <cell r="D8">
            <v>22953</v>
          </cell>
        </row>
        <row r="9">
          <cell r="D9">
            <v>33288</v>
          </cell>
        </row>
        <row r="10">
          <cell r="D10">
            <v>1614</v>
          </cell>
        </row>
        <row r="11">
          <cell r="D11">
            <v>2778</v>
          </cell>
        </row>
        <row r="12">
          <cell r="D12">
            <v>8856</v>
          </cell>
        </row>
        <row r="13">
          <cell r="D13">
            <v>2873</v>
          </cell>
        </row>
        <row r="14">
          <cell r="D14">
            <v>2637</v>
          </cell>
        </row>
        <row r="15">
          <cell r="D15">
            <v>14530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14660</v>
          </cell>
          <cell r="E40">
            <v>1515</v>
          </cell>
          <cell r="F40">
            <v>2457</v>
          </cell>
        </row>
        <row r="41">
          <cell r="D41">
            <v>7378</v>
          </cell>
          <cell r="E41">
            <v>670</v>
          </cell>
          <cell r="F41">
            <v>1079</v>
          </cell>
        </row>
        <row r="42">
          <cell r="E42">
            <v>845</v>
          </cell>
          <cell r="F42">
            <v>1378</v>
          </cell>
        </row>
        <row r="43">
          <cell r="E43">
            <v>0</v>
          </cell>
          <cell r="F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1495</v>
          </cell>
        </row>
      </sheetData>
      <sheetData sheetId="10"/>
      <sheetData sheetId="11"/>
      <sheetData sheetId="12">
        <row r="4">
          <cell r="J4">
            <v>360239</v>
          </cell>
        </row>
        <row r="8">
          <cell r="D8">
            <v>14660</v>
          </cell>
        </row>
        <row r="9">
          <cell r="D9">
            <v>7378</v>
          </cell>
          <cell r="E9">
            <v>718</v>
          </cell>
        </row>
        <row r="10">
          <cell r="D10">
            <v>7282</v>
          </cell>
        </row>
        <row r="11">
          <cell r="D11">
            <v>145</v>
          </cell>
          <cell r="E11">
            <v>10</v>
          </cell>
        </row>
        <row r="12">
          <cell r="D12">
            <v>509</v>
          </cell>
          <cell r="E12">
            <v>66</v>
          </cell>
        </row>
        <row r="13">
          <cell r="D13">
            <v>930</v>
          </cell>
          <cell r="E13">
            <v>68</v>
          </cell>
        </row>
        <row r="14">
          <cell r="D14">
            <v>1579</v>
          </cell>
          <cell r="E14">
            <v>99</v>
          </cell>
        </row>
        <row r="15">
          <cell r="D15">
            <v>3085</v>
          </cell>
          <cell r="E15">
            <v>306</v>
          </cell>
        </row>
        <row r="16">
          <cell r="D16">
            <v>915</v>
          </cell>
          <cell r="E16">
            <v>12</v>
          </cell>
        </row>
        <row r="17">
          <cell r="D17"/>
          <cell r="E17"/>
        </row>
        <row r="18">
          <cell r="D18"/>
          <cell r="E18"/>
        </row>
        <row r="19">
          <cell r="D19">
            <v>119</v>
          </cell>
          <cell r="E19">
            <v>4</v>
          </cell>
        </row>
        <row r="20">
          <cell r="D20">
            <v>0</v>
          </cell>
          <cell r="E20">
            <v>0</v>
          </cell>
        </row>
      </sheetData>
      <sheetData sheetId="13">
        <row r="7">
          <cell r="D7">
            <v>7227</v>
          </cell>
        </row>
        <row r="8">
          <cell r="D8">
            <v>4820</v>
          </cell>
        </row>
        <row r="9">
          <cell r="D9">
            <v>2407</v>
          </cell>
        </row>
        <row r="10">
          <cell r="D10">
            <v>248</v>
          </cell>
        </row>
        <row r="11">
          <cell r="D11">
            <v>496</v>
          </cell>
        </row>
        <row r="12">
          <cell r="D12">
            <v>229</v>
          </cell>
        </row>
        <row r="13">
          <cell r="D13">
            <v>127</v>
          </cell>
        </row>
        <row r="14">
          <cell r="D14">
            <v>334</v>
          </cell>
        </row>
        <row r="15">
          <cell r="D15">
            <v>165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808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3314</v>
          </cell>
          <cell r="E40">
            <v>342</v>
          </cell>
          <cell r="F40">
            <v>650</v>
          </cell>
        </row>
        <row r="41">
          <cell r="D41">
            <v>1279</v>
          </cell>
          <cell r="E41">
            <v>105</v>
          </cell>
          <cell r="F41">
            <v>155</v>
          </cell>
        </row>
        <row r="42">
          <cell r="E42">
            <v>226</v>
          </cell>
          <cell r="F42">
            <v>435</v>
          </cell>
        </row>
        <row r="43">
          <cell r="E43">
            <v>11</v>
          </cell>
          <cell r="F43">
            <v>60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243</v>
          </cell>
        </row>
      </sheetData>
      <sheetData sheetId="10"/>
      <sheetData sheetId="11"/>
      <sheetData sheetId="12">
        <row r="4">
          <cell r="J4">
            <v>79834</v>
          </cell>
        </row>
        <row r="8">
          <cell r="D8">
            <v>3314</v>
          </cell>
        </row>
        <row r="9">
          <cell r="D9">
            <v>1279</v>
          </cell>
          <cell r="E9">
            <v>181</v>
          </cell>
        </row>
        <row r="10">
          <cell r="D10">
            <v>1787</v>
          </cell>
        </row>
        <row r="11">
          <cell r="D11">
            <v>67</v>
          </cell>
          <cell r="E11">
            <v>9</v>
          </cell>
        </row>
        <row r="12">
          <cell r="D12">
            <v>128</v>
          </cell>
          <cell r="E12">
            <v>26</v>
          </cell>
        </row>
        <row r="13">
          <cell r="D13">
            <v>188</v>
          </cell>
          <cell r="E13">
            <v>14</v>
          </cell>
        </row>
        <row r="14">
          <cell r="D14">
            <v>280</v>
          </cell>
          <cell r="E14">
            <v>39</v>
          </cell>
        </row>
        <row r="15">
          <cell r="D15">
            <v>671</v>
          </cell>
          <cell r="E15">
            <v>95</v>
          </cell>
        </row>
        <row r="16">
          <cell r="D16">
            <v>80</v>
          </cell>
          <cell r="E16">
            <v>12</v>
          </cell>
        </row>
        <row r="17">
          <cell r="D17">
            <v>373</v>
          </cell>
          <cell r="E17">
            <v>16</v>
          </cell>
        </row>
        <row r="18">
          <cell r="D18"/>
          <cell r="E18"/>
        </row>
        <row r="19">
          <cell r="D19"/>
          <cell r="E19"/>
        </row>
        <row r="20">
          <cell r="D20">
            <v>248</v>
          </cell>
          <cell r="E20"/>
        </row>
      </sheetData>
      <sheetData sheetId="13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18919</v>
          </cell>
          <cell r="E40">
            <v>1976</v>
          </cell>
          <cell r="F40">
            <v>3234</v>
          </cell>
        </row>
        <row r="41">
          <cell r="D41">
            <v>11311</v>
          </cell>
          <cell r="E41">
            <v>1009</v>
          </cell>
          <cell r="F41">
            <v>1651</v>
          </cell>
        </row>
        <row r="42">
          <cell r="E42">
            <v>967</v>
          </cell>
          <cell r="F42">
            <v>1583</v>
          </cell>
        </row>
        <row r="43">
          <cell r="E43"/>
          <cell r="F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1552</v>
          </cell>
        </row>
      </sheetData>
      <sheetData sheetId="10"/>
      <sheetData sheetId="11"/>
      <sheetData sheetId="12">
        <row r="4">
          <cell r="J4">
            <v>333025</v>
          </cell>
        </row>
        <row r="8">
          <cell r="D8">
            <v>18919</v>
          </cell>
        </row>
        <row r="9">
          <cell r="D9">
            <v>11311</v>
          </cell>
          <cell r="E9">
            <v>860</v>
          </cell>
        </row>
        <row r="10">
          <cell r="D10">
            <v>7608</v>
          </cell>
        </row>
        <row r="11">
          <cell r="D11">
            <v>149</v>
          </cell>
          <cell r="E11">
            <v>15</v>
          </cell>
        </row>
        <row r="12">
          <cell r="D12">
            <v>310</v>
          </cell>
          <cell r="E12">
            <v>28</v>
          </cell>
        </row>
        <row r="13">
          <cell r="D13">
            <v>1199</v>
          </cell>
          <cell r="E13">
            <v>122</v>
          </cell>
        </row>
        <row r="14">
          <cell r="D14">
            <v>411</v>
          </cell>
          <cell r="E14">
            <v>23</v>
          </cell>
        </row>
        <row r="15">
          <cell r="D15">
            <v>4153</v>
          </cell>
          <cell r="E15">
            <v>295</v>
          </cell>
        </row>
        <row r="16">
          <cell r="D16">
            <v>1386</v>
          </cell>
          <cell r="E16">
            <v>50</v>
          </cell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>
            <v>0</v>
          </cell>
          <cell r="E20"/>
        </row>
      </sheetData>
      <sheetData sheetId="13">
        <row r="7">
          <cell r="D7">
            <v>9415</v>
          </cell>
        </row>
        <row r="8">
          <cell r="D8">
            <v>641</v>
          </cell>
        </row>
        <row r="9">
          <cell r="D9">
            <v>8774</v>
          </cell>
        </row>
        <row r="10">
          <cell r="D10">
            <v>138</v>
          </cell>
        </row>
        <row r="11">
          <cell r="D11">
            <v>513</v>
          </cell>
        </row>
        <row r="12">
          <cell r="D12">
            <v>2650</v>
          </cell>
        </row>
        <row r="13">
          <cell r="D13">
            <v>1237</v>
          </cell>
        </row>
        <row r="14">
          <cell r="D14">
            <v>143</v>
          </cell>
        </row>
        <row r="15">
          <cell r="D15">
            <v>4093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10451</v>
          </cell>
          <cell r="E40">
            <v>1231</v>
          </cell>
          <cell r="F40">
            <v>1766</v>
          </cell>
        </row>
        <row r="41">
          <cell r="D41">
            <v>4145</v>
          </cell>
          <cell r="E41">
            <v>394</v>
          </cell>
          <cell r="F41">
            <v>579</v>
          </cell>
        </row>
        <row r="42">
          <cell r="E42">
            <v>837</v>
          </cell>
          <cell r="F42">
            <v>1187</v>
          </cell>
        </row>
        <row r="43">
          <cell r="E43"/>
          <cell r="F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920</v>
          </cell>
        </row>
      </sheetData>
      <sheetData sheetId="10"/>
      <sheetData sheetId="11"/>
      <sheetData sheetId="12">
        <row r="4">
          <cell r="J4">
            <v>174695</v>
          </cell>
        </row>
        <row r="8">
          <cell r="D8">
            <v>10451</v>
          </cell>
        </row>
        <row r="9">
          <cell r="D9">
            <v>4145</v>
          </cell>
          <cell r="E9">
            <v>70</v>
          </cell>
        </row>
        <row r="10">
          <cell r="D10">
            <v>6306</v>
          </cell>
        </row>
        <row r="11">
          <cell r="D11">
            <v>154</v>
          </cell>
          <cell r="E11">
            <v>5</v>
          </cell>
        </row>
        <row r="12">
          <cell r="D12">
            <v>346</v>
          </cell>
          <cell r="E12">
            <v>18</v>
          </cell>
        </row>
        <row r="13">
          <cell r="D13">
            <v>222</v>
          </cell>
          <cell r="E13">
            <v>1</v>
          </cell>
        </row>
        <row r="14">
          <cell r="D14">
            <v>755</v>
          </cell>
          <cell r="E14">
            <v>6</v>
          </cell>
        </row>
        <row r="15">
          <cell r="D15">
            <v>3459</v>
          </cell>
          <cell r="E15">
            <v>124</v>
          </cell>
        </row>
        <row r="16">
          <cell r="D16">
            <v>1370</v>
          </cell>
          <cell r="E16">
            <v>3</v>
          </cell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>
            <v>0</v>
          </cell>
          <cell r="E20"/>
        </row>
      </sheetData>
      <sheetData sheetId="13">
        <row r="7">
          <cell r="D7">
            <v>5341</v>
          </cell>
        </row>
        <row r="8">
          <cell r="D8">
            <v>1989</v>
          </cell>
        </row>
        <row r="9">
          <cell r="D9">
            <v>3352</v>
          </cell>
        </row>
        <row r="10">
          <cell r="D10">
            <v>106</v>
          </cell>
        </row>
        <row r="11">
          <cell r="D11">
            <v>244</v>
          </cell>
        </row>
        <row r="12">
          <cell r="D12">
            <v>516</v>
          </cell>
        </row>
        <row r="13">
          <cell r="D13">
            <v>313</v>
          </cell>
        </row>
        <row r="14">
          <cell r="D14">
            <v>124</v>
          </cell>
        </row>
        <row r="15">
          <cell r="D15">
            <v>1902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147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5363</v>
          </cell>
          <cell r="E40">
            <v>587</v>
          </cell>
          <cell r="F40">
            <v>1102</v>
          </cell>
        </row>
        <row r="41">
          <cell r="D41">
            <v>1083</v>
          </cell>
          <cell r="E41">
            <v>105</v>
          </cell>
          <cell r="F41">
            <v>198</v>
          </cell>
        </row>
        <row r="42">
          <cell r="E42">
            <v>482</v>
          </cell>
          <cell r="F42">
            <v>904</v>
          </cell>
        </row>
        <row r="43">
          <cell r="E43">
            <v>0</v>
          </cell>
          <cell r="F43">
            <v>0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603</v>
          </cell>
        </row>
      </sheetData>
      <sheetData sheetId="10"/>
      <sheetData sheetId="11"/>
      <sheetData sheetId="12">
        <row r="4">
          <cell r="J4">
            <v>257291</v>
          </cell>
        </row>
        <row r="8">
          <cell r="D8">
            <v>5363</v>
          </cell>
        </row>
        <row r="9">
          <cell r="D9">
            <v>1083</v>
          </cell>
          <cell r="E9">
            <v>43</v>
          </cell>
        </row>
        <row r="10">
          <cell r="D10">
            <v>4280</v>
          </cell>
        </row>
        <row r="11">
          <cell r="D11">
            <v>0</v>
          </cell>
          <cell r="E11">
            <v>0</v>
          </cell>
        </row>
        <row r="12">
          <cell r="D12">
            <v>162</v>
          </cell>
          <cell r="E12">
            <v>28</v>
          </cell>
        </row>
        <row r="13">
          <cell r="D13">
            <v>51</v>
          </cell>
          <cell r="E13">
            <v>4</v>
          </cell>
        </row>
        <row r="14">
          <cell r="D14">
            <v>371</v>
          </cell>
          <cell r="E14">
            <v>27</v>
          </cell>
        </row>
        <row r="15">
          <cell r="D15">
            <v>3558</v>
          </cell>
          <cell r="E15">
            <v>311</v>
          </cell>
        </row>
        <row r="16">
          <cell r="D16">
            <v>138</v>
          </cell>
          <cell r="E16">
            <v>1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</sheetData>
      <sheetData sheetId="13">
        <row r="7">
          <cell r="D7">
            <v>11745</v>
          </cell>
        </row>
        <row r="8">
          <cell r="D8">
            <v>7304</v>
          </cell>
        </row>
        <row r="9">
          <cell r="D9">
            <v>4406</v>
          </cell>
        </row>
        <row r="10">
          <cell r="D10">
            <v>222</v>
          </cell>
        </row>
        <row r="11">
          <cell r="D11">
            <v>374</v>
          </cell>
        </row>
        <row r="12">
          <cell r="D12">
            <v>807</v>
          </cell>
        </row>
        <row r="13">
          <cell r="D13">
            <v>700</v>
          </cell>
        </row>
        <row r="14">
          <cell r="D14">
            <v>617</v>
          </cell>
        </row>
        <row r="15">
          <cell r="D15">
            <v>880</v>
          </cell>
        </row>
        <row r="16">
          <cell r="D16">
            <v>806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6560</v>
          </cell>
          <cell r="E40">
            <v>733</v>
          </cell>
          <cell r="F40">
            <v>1178</v>
          </cell>
        </row>
        <row r="41">
          <cell r="D41">
            <v>2399</v>
          </cell>
          <cell r="E41">
            <v>260</v>
          </cell>
          <cell r="F41"/>
        </row>
        <row r="42">
          <cell r="E42">
            <v>473</v>
          </cell>
        </row>
        <row r="43">
          <cell r="E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474</v>
          </cell>
        </row>
      </sheetData>
      <sheetData sheetId="10"/>
      <sheetData sheetId="11"/>
      <sheetData sheetId="12">
        <row r="4">
          <cell r="J4">
            <v>172690</v>
          </cell>
        </row>
        <row r="8">
          <cell r="D8">
            <v>6560</v>
          </cell>
        </row>
        <row r="9">
          <cell r="D9">
            <v>2399</v>
          </cell>
          <cell r="E9">
            <v>33</v>
          </cell>
        </row>
        <row r="10">
          <cell r="D10">
            <v>4161</v>
          </cell>
        </row>
        <row r="11">
          <cell r="D11">
            <v>69</v>
          </cell>
          <cell r="E11">
            <v>5</v>
          </cell>
        </row>
        <row r="12">
          <cell r="D12">
            <v>99</v>
          </cell>
          <cell r="E12">
            <v>9</v>
          </cell>
        </row>
        <row r="13">
          <cell r="D13">
            <v>399</v>
          </cell>
          <cell r="E13">
            <v>2</v>
          </cell>
        </row>
        <row r="14">
          <cell r="D14">
            <v>217</v>
          </cell>
          <cell r="E14">
            <v>10</v>
          </cell>
        </row>
        <row r="15">
          <cell r="D15">
            <v>2713</v>
          </cell>
          <cell r="E15">
            <v>97</v>
          </cell>
        </row>
        <row r="16">
          <cell r="D16">
            <v>660</v>
          </cell>
          <cell r="E16">
            <v>21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4</v>
          </cell>
          <cell r="E19">
            <v>0</v>
          </cell>
        </row>
        <row r="20">
          <cell r="D20">
            <v>0</v>
          </cell>
          <cell r="E20"/>
        </row>
      </sheetData>
      <sheetData sheetId="13">
        <row r="7">
          <cell r="D7">
            <v>4757</v>
          </cell>
        </row>
        <row r="8">
          <cell r="D8">
            <v>1782</v>
          </cell>
        </row>
        <row r="9">
          <cell r="D9">
            <v>2975</v>
          </cell>
        </row>
        <row r="10">
          <cell r="D10">
            <v>133</v>
          </cell>
        </row>
        <row r="11">
          <cell r="D11">
            <v>238</v>
          </cell>
        </row>
        <row r="12">
          <cell r="D12">
            <v>621</v>
          </cell>
        </row>
        <row r="13">
          <cell r="D13">
            <v>418</v>
          </cell>
        </row>
        <row r="14">
          <cell r="D14">
            <v>304</v>
          </cell>
        </row>
        <row r="15">
          <cell r="D15">
            <v>1261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äInt"/>
      <sheetName val="Fußnoten"/>
      <sheetName val="Erläuterungen"/>
      <sheetName val="D"/>
      <sheetName val="Quoten D"/>
      <sheetName val="BW"/>
      <sheetName val="BY"/>
      <sheetName val="BE"/>
      <sheetName val="BB"/>
      <sheetName val="HB"/>
      <sheetName val="HH"/>
      <sheetName val="HE"/>
      <sheetName val="MV"/>
      <sheetName val="NI"/>
      <sheetName val="NW"/>
      <sheetName val="RP"/>
      <sheetName val="SL"/>
      <sheetName val="SN"/>
      <sheetName val="ST"/>
      <sheetName val="SH"/>
      <sheetName val="TH"/>
    </sheetNames>
    <sheetDataSet>
      <sheetData sheetId="0"/>
      <sheetData sheetId="1"/>
      <sheetData sheetId="2"/>
      <sheetData sheetId="3">
        <row r="7">
          <cell r="D7">
            <v>222485</v>
          </cell>
        </row>
        <row r="8">
          <cell r="D8">
            <v>100425</v>
          </cell>
        </row>
        <row r="9">
          <cell r="D9">
            <v>121641</v>
          </cell>
        </row>
        <row r="10">
          <cell r="D10">
            <v>4553</v>
          </cell>
        </row>
        <row r="11">
          <cell r="D11">
            <v>10337</v>
          </cell>
        </row>
        <row r="12">
          <cell r="D12">
            <v>27271</v>
          </cell>
        </row>
        <row r="13">
          <cell r="D13">
            <v>13172</v>
          </cell>
        </row>
        <row r="14">
          <cell r="D14">
            <v>11832</v>
          </cell>
        </row>
        <row r="15">
          <cell r="D15">
            <v>51741</v>
          </cell>
        </row>
        <row r="16">
          <cell r="D16">
            <v>1494</v>
          </cell>
        </row>
        <row r="17">
          <cell r="D17">
            <v>0</v>
          </cell>
        </row>
        <row r="18">
          <cell r="D18">
            <v>1241</v>
          </cell>
        </row>
        <row r="19">
          <cell r="D19">
            <v>419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55283</v>
          </cell>
          <cell r="E40">
            <v>5204</v>
          </cell>
          <cell r="F40">
            <v>8938</v>
          </cell>
        </row>
        <row r="41">
          <cell r="D41">
            <v>1278</v>
          </cell>
          <cell r="E41">
            <v>103</v>
          </cell>
          <cell r="F41">
            <v>191</v>
          </cell>
        </row>
        <row r="42">
          <cell r="E42">
            <v>4879</v>
          </cell>
          <cell r="F42">
            <v>8500</v>
          </cell>
        </row>
        <row r="43">
          <cell r="E43">
            <v>222</v>
          </cell>
          <cell r="F43">
            <v>247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2971</v>
          </cell>
        </row>
      </sheetData>
      <sheetData sheetId="10"/>
      <sheetData sheetId="11"/>
      <sheetData sheetId="12">
        <row r="4">
          <cell r="J4">
            <v>1137338</v>
          </cell>
        </row>
        <row r="8">
          <cell r="D8">
            <v>55283</v>
          </cell>
        </row>
        <row r="9">
          <cell r="D9">
            <v>1278</v>
          </cell>
          <cell r="E9">
            <v>120</v>
          </cell>
        </row>
        <row r="10">
          <cell r="D10">
            <v>51267</v>
          </cell>
        </row>
        <row r="11">
          <cell r="D11">
            <v>628</v>
          </cell>
          <cell r="E11">
            <v>97</v>
          </cell>
        </row>
        <row r="12">
          <cell r="D12">
            <v>1968</v>
          </cell>
          <cell r="E12">
            <v>158</v>
          </cell>
        </row>
        <row r="13">
          <cell r="D13">
            <v>1232</v>
          </cell>
          <cell r="E13">
            <v>148</v>
          </cell>
        </row>
        <row r="14">
          <cell r="D14">
            <v>1907</v>
          </cell>
          <cell r="E14">
            <v>147</v>
          </cell>
        </row>
        <row r="15">
          <cell r="D15">
            <v>10762</v>
          </cell>
          <cell r="E15">
            <v>1483</v>
          </cell>
        </row>
        <row r="16">
          <cell r="D16">
            <v>2834</v>
          </cell>
          <cell r="E16">
            <v>210</v>
          </cell>
        </row>
        <row r="17">
          <cell r="D17">
            <v>2128</v>
          </cell>
          <cell r="E17">
            <v>238</v>
          </cell>
        </row>
        <row r="18">
          <cell r="D18">
            <v>19755</v>
          </cell>
          <cell r="E18">
            <v>2381</v>
          </cell>
        </row>
        <row r="19">
          <cell r="D19">
            <v>10053</v>
          </cell>
          <cell r="E19">
            <v>1601</v>
          </cell>
        </row>
        <row r="20">
          <cell r="D20">
            <v>2738</v>
          </cell>
          <cell r="E20">
            <v>181</v>
          </cell>
        </row>
      </sheetData>
      <sheetData sheetId="13">
        <row r="7">
          <cell r="D7">
            <v>20109</v>
          </cell>
        </row>
        <row r="8">
          <cell r="D8">
            <v>11475</v>
          </cell>
        </row>
        <row r="9">
          <cell r="D9">
            <v>8634</v>
          </cell>
        </row>
        <row r="10">
          <cell r="D10">
            <v>246</v>
          </cell>
        </row>
        <row r="11">
          <cell r="D11">
            <v>961</v>
          </cell>
        </row>
        <row r="12">
          <cell r="D12">
            <v>1970</v>
          </cell>
        </row>
        <row r="13">
          <cell r="D13">
            <v>658</v>
          </cell>
        </row>
        <row r="14">
          <cell r="D14">
            <v>835</v>
          </cell>
        </row>
        <row r="15">
          <cell r="D15">
            <v>3964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8151</v>
          </cell>
          <cell r="E40">
            <v>1041</v>
          </cell>
          <cell r="F40">
            <v>1599</v>
          </cell>
        </row>
        <row r="41">
          <cell r="D41">
            <v>966</v>
          </cell>
          <cell r="E41">
            <v>94</v>
          </cell>
          <cell r="F41">
            <v>175</v>
          </cell>
        </row>
        <row r="42">
          <cell r="E42">
            <v>870</v>
          </cell>
          <cell r="F42">
            <v>1208</v>
          </cell>
        </row>
        <row r="43">
          <cell r="E43">
            <v>77</v>
          </cell>
          <cell r="F43">
            <v>216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691</v>
          </cell>
        </row>
      </sheetData>
      <sheetData sheetId="10"/>
      <sheetData sheetId="11"/>
      <sheetData sheetId="12">
        <row r="4">
          <cell r="J4">
            <v>302292</v>
          </cell>
        </row>
        <row r="8">
          <cell r="D8">
            <v>8151</v>
          </cell>
        </row>
        <row r="9">
          <cell r="D9">
            <v>966</v>
          </cell>
          <cell r="E9">
            <v>126</v>
          </cell>
        </row>
        <row r="10">
          <cell r="D10">
            <v>6461</v>
          </cell>
        </row>
        <row r="11">
          <cell r="D11">
            <v>96</v>
          </cell>
          <cell r="E11">
            <v>14</v>
          </cell>
        </row>
        <row r="12">
          <cell r="D12">
            <v>379</v>
          </cell>
          <cell r="E12">
            <v>66</v>
          </cell>
        </row>
        <row r="13">
          <cell r="D13">
            <v>923</v>
          </cell>
          <cell r="E13">
            <v>89</v>
          </cell>
        </row>
        <row r="14">
          <cell r="D14">
            <v>1000</v>
          </cell>
          <cell r="E14">
            <v>79</v>
          </cell>
        </row>
        <row r="15">
          <cell r="D15">
            <v>2747</v>
          </cell>
          <cell r="E15">
            <v>518</v>
          </cell>
        </row>
        <row r="16">
          <cell r="D16">
            <v>1216</v>
          </cell>
          <cell r="E16">
            <v>170</v>
          </cell>
        </row>
        <row r="17">
          <cell r="D17">
            <v>100</v>
          </cell>
          <cell r="E17">
            <v>10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724</v>
          </cell>
          <cell r="E20">
            <v>50</v>
          </cell>
        </row>
      </sheetData>
      <sheetData sheetId="13">
        <row r="7">
          <cell r="D7">
            <v>16689</v>
          </cell>
        </row>
        <row r="8">
          <cell r="D8">
            <v>5119</v>
          </cell>
        </row>
        <row r="9">
          <cell r="D9">
            <v>11438</v>
          </cell>
        </row>
        <row r="10">
          <cell r="D10">
            <v>220</v>
          </cell>
        </row>
        <row r="11">
          <cell r="D11">
            <v>502</v>
          </cell>
        </row>
        <row r="12">
          <cell r="D12">
            <v>3027</v>
          </cell>
        </row>
        <row r="13">
          <cell r="D13">
            <v>1712</v>
          </cell>
        </row>
        <row r="14">
          <cell r="D14">
            <v>1318</v>
          </cell>
        </row>
        <row r="15">
          <cell r="D15">
            <v>3971</v>
          </cell>
        </row>
        <row r="16">
          <cell r="D16">
            <v>688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132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 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8728</v>
          </cell>
          <cell r="E40">
            <v>970.82999999999993</v>
          </cell>
          <cell r="F40">
            <v>1789</v>
          </cell>
        </row>
        <row r="41">
          <cell r="D41">
            <v>4197</v>
          </cell>
          <cell r="E41">
            <v>395.41</v>
          </cell>
          <cell r="F41">
            <v>609</v>
          </cell>
        </row>
        <row r="42">
          <cell r="E42">
            <v>575.41999999999996</v>
          </cell>
          <cell r="F42">
            <v>1180</v>
          </cell>
        </row>
        <row r="43">
          <cell r="E43"/>
          <cell r="F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905</v>
          </cell>
        </row>
      </sheetData>
      <sheetData sheetId="10"/>
      <sheetData sheetId="11"/>
      <sheetData sheetId="12">
        <row r="4">
          <cell r="J4">
            <v>217970</v>
          </cell>
        </row>
        <row r="8">
          <cell r="D8">
            <v>8728</v>
          </cell>
        </row>
        <row r="9">
          <cell r="D9">
            <v>4197</v>
          </cell>
          <cell r="E9">
            <v>68</v>
          </cell>
        </row>
        <row r="10">
          <cell r="D10">
            <v>4531</v>
          </cell>
        </row>
        <row r="11">
          <cell r="D11">
            <v>106</v>
          </cell>
          <cell r="E11">
            <v>4</v>
          </cell>
        </row>
        <row r="12">
          <cell r="D12">
            <v>221</v>
          </cell>
          <cell r="E12">
            <v>14</v>
          </cell>
        </row>
        <row r="13">
          <cell r="D13">
            <v>167</v>
          </cell>
          <cell r="E13">
            <v>6</v>
          </cell>
        </row>
        <row r="14">
          <cell r="D14">
            <v>267</v>
          </cell>
          <cell r="E14">
            <v>3</v>
          </cell>
        </row>
        <row r="15">
          <cell r="D15">
            <v>3335</v>
          </cell>
          <cell r="E15">
            <v>133</v>
          </cell>
        </row>
        <row r="16">
          <cell r="D16">
            <v>435</v>
          </cell>
          <cell r="E16">
            <v>7</v>
          </cell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>
            <v>0</v>
          </cell>
          <cell r="E20"/>
        </row>
      </sheetData>
      <sheetData sheetId="13">
        <row r="7">
          <cell r="D7">
            <v>8361</v>
          </cell>
        </row>
        <row r="8">
          <cell r="D8">
            <v>2996</v>
          </cell>
        </row>
        <row r="9">
          <cell r="D9">
            <v>5365</v>
          </cell>
        </row>
        <row r="10">
          <cell r="D10">
            <v>212</v>
          </cell>
        </row>
        <row r="11">
          <cell r="D11">
            <v>416</v>
          </cell>
        </row>
        <row r="12">
          <cell r="D12">
            <v>837</v>
          </cell>
        </row>
        <row r="13">
          <cell r="D13">
            <v>831</v>
          </cell>
        </row>
        <row r="14">
          <cell r="D14">
            <v>316</v>
          </cell>
        </row>
        <row r="15">
          <cell r="D15">
            <v>2753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657</v>
          </cell>
          <cell r="E40">
            <v>107</v>
          </cell>
          <cell r="F40">
            <v>144.55416419033702</v>
          </cell>
        </row>
        <row r="41">
          <cell r="D41">
            <v>127</v>
          </cell>
          <cell r="E41">
            <v>13</v>
          </cell>
          <cell r="F41">
            <v>14.45660381184682</v>
          </cell>
        </row>
        <row r="42">
          <cell r="E42">
            <v>71</v>
          </cell>
          <cell r="F42">
            <v>110.87533815626799</v>
          </cell>
        </row>
        <row r="43">
          <cell r="E43">
            <v>23</v>
          </cell>
          <cell r="F43">
            <v>19.222222222222221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73</v>
          </cell>
        </row>
      </sheetData>
      <sheetData sheetId="10"/>
      <sheetData sheetId="11"/>
      <sheetData sheetId="12">
        <row r="4">
          <cell r="J4">
            <v>56848</v>
          </cell>
        </row>
        <row r="8">
          <cell r="D8">
            <v>657</v>
          </cell>
        </row>
        <row r="9">
          <cell r="D9">
            <v>127</v>
          </cell>
          <cell r="E9">
            <v>4</v>
          </cell>
        </row>
        <row r="10">
          <cell r="D10">
            <v>387</v>
          </cell>
        </row>
        <row r="11">
          <cell r="D11">
            <v>77</v>
          </cell>
          <cell r="E11">
            <v>19</v>
          </cell>
        </row>
        <row r="12">
          <cell r="D12">
            <v>82</v>
          </cell>
          <cell r="E12">
            <v>17</v>
          </cell>
        </row>
        <row r="13">
          <cell r="D13"/>
          <cell r="E13"/>
        </row>
        <row r="14">
          <cell r="D14">
            <v>129</v>
          </cell>
          <cell r="E14">
            <v>38</v>
          </cell>
        </row>
        <row r="15">
          <cell r="D15">
            <v>29</v>
          </cell>
          <cell r="E15">
            <v>10</v>
          </cell>
        </row>
        <row r="16">
          <cell r="D16">
            <v>70</v>
          </cell>
          <cell r="E16">
            <v>7</v>
          </cell>
        </row>
        <row r="17">
          <cell r="D17"/>
          <cell r="E17"/>
        </row>
        <row r="18">
          <cell r="D18"/>
          <cell r="E18"/>
        </row>
        <row r="19">
          <cell r="D19"/>
          <cell r="E19"/>
        </row>
        <row r="20">
          <cell r="D20">
            <v>143</v>
          </cell>
          <cell r="E20"/>
        </row>
      </sheetData>
      <sheetData sheetId="13">
        <row r="7">
          <cell r="D7">
            <v>3632</v>
          </cell>
        </row>
        <row r="8">
          <cell r="D8">
            <v>2264</v>
          </cell>
        </row>
        <row r="9">
          <cell r="D9">
            <v>1368</v>
          </cell>
        </row>
        <row r="10">
          <cell r="D10">
            <v>38</v>
          </cell>
        </row>
        <row r="11">
          <cell r="D11">
            <v>63</v>
          </cell>
        </row>
        <row r="12">
          <cell r="D12">
            <v>86</v>
          </cell>
        </row>
        <row r="13">
          <cell r="D13">
            <v>56</v>
          </cell>
        </row>
        <row r="14">
          <cell r="D14">
            <v>803</v>
          </cell>
        </row>
        <row r="15">
          <cell r="D15">
            <v>322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4512</v>
          </cell>
          <cell r="E40">
            <v>479</v>
          </cell>
          <cell r="F40">
            <v>747</v>
          </cell>
        </row>
        <row r="41">
          <cell r="D41">
            <v>1439</v>
          </cell>
          <cell r="E41">
            <v>120</v>
          </cell>
          <cell r="F41">
            <v>336</v>
          </cell>
        </row>
        <row r="42">
          <cell r="E42">
            <v>359</v>
          </cell>
          <cell r="F42">
            <v>411</v>
          </cell>
        </row>
        <row r="43">
          <cell r="E43"/>
          <cell r="F43"/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308</v>
          </cell>
        </row>
      </sheetData>
      <sheetData sheetId="10"/>
      <sheetData sheetId="11"/>
      <sheetData sheetId="12">
        <row r="4">
          <cell r="J4">
            <v>153608</v>
          </cell>
        </row>
        <row r="8">
          <cell r="D8">
            <v>4512</v>
          </cell>
        </row>
        <row r="9">
          <cell r="D9">
            <v>1439</v>
          </cell>
          <cell r="E9">
            <v>255</v>
          </cell>
        </row>
        <row r="10">
          <cell r="D10">
            <v>3073</v>
          </cell>
        </row>
        <row r="11">
          <cell r="D11">
            <v>111</v>
          </cell>
          <cell r="E11">
            <v>21</v>
          </cell>
        </row>
        <row r="12">
          <cell r="D12">
            <v>213</v>
          </cell>
          <cell r="E12">
            <v>45</v>
          </cell>
        </row>
        <row r="13">
          <cell r="D13">
            <v>549</v>
          </cell>
          <cell r="E13">
            <v>81</v>
          </cell>
        </row>
        <row r="14">
          <cell r="D14">
            <v>580</v>
          </cell>
          <cell r="E14">
            <v>90</v>
          </cell>
        </row>
        <row r="15">
          <cell r="D15">
            <v>954</v>
          </cell>
          <cell r="E15">
            <v>183</v>
          </cell>
        </row>
        <row r="16">
          <cell r="D16">
            <v>21</v>
          </cell>
          <cell r="E16">
            <v>1</v>
          </cell>
        </row>
        <row r="17">
          <cell r="D17">
            <v>645</v>
          </cell>
          <cell r="E17">
            <v>65</v>
          </cell>
        </row>
        <row r="18">
          <cell r="D18"/>
          <cell r="E18"/>
        </row>
        <row r="19">
          <cell r="D19"/>
          <cell r="E19"/>
        </row>
        <row r="20">
          <cell r="D20">
            <v>0</v>
          </cell>
          <cell r="E20"/>
        </row>
      </sheetData>
      <sheetData sheetId="13">
        <row r="7">
          <cell r="D7">
            <v>8856</v>
          </cell>
        </row>
        <row r="8">
          <cell r="D8">
            <v>4190</v>
          </cell>
        </row>
        <row r="9">
          <cell r="D9">
            <v>4666</v>
          </cell>
        </row>
        <row r="10">
          <cell r="D10">
            <v>64</v>
          </cell>
        </row>
        <row r="11">
          <cell r="D11">
            <v>173</v>
          </cell>
        </row>
        <row r="12">
          <cell r="D12">
            <v>997</v>
          </cell>
        </row>
        <row r="13">
          <cell r="D13">
            <v>540</v>
          </cell>
        </row>
        <row r="14">
          <cell r="D14">
            <v>494</v>
          </cell>
        </row>
        <row r="15">
          <cell r="D15">
            <v>2112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286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21653</v>
          </cell>
          <cell r="E40">
            <v>2455</v>
          </cell>
          <cell r="F40">
            <v>5573.4512618109638</v>
          </cell>
        </row>
        <row r="41">
          <cell r="D41">
            <v>7768</v>
          </cell>
          <cell r="E41">
            <v>680</v>
          </cell>
          <cell r="F41">
            <v>2330.5368456209103</v>
          </cell>
        </row>
        <row r="42">
          <cell r="E42">
            <v>1531</v>
          </cell>
          <cell r="F42">
            <v>3047.2918192908628</v>
          </cell>
        </row>
        <row r="43">
          <cell r="E43">
            <v>244</v>
          </cell>
          <cell r="F43">
            <v>195.6225968991908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1706</v>
          </cell>
        </row>
      </sheetData>
      <sheetData sheetId="10"/>
      <sheetData sheetId="11"/>
      <sheetData sheetId="12">
        <row r="4">
          <cell r="J4">
            <v>554333</v>
          </cell>
        </row>
        <row r="8">
          <cell r="D8">
            <v>21653</v>
          </cell>
        </row>
        <row r="9">
          <cell r="D9">
            <v>7768</v>
          </cell>
          <cell r="E9">
            <v>1670</v>
          </cell>
        </row>
        <row r="10">
          <cell r="D10">
            <v>11924</v>
          </cell>
        </row>
        <row r="11">
          <cell r="D11">
            <v>304</v>
          </cell>
          <cell r="E11">
            <v>41</v>
          </cell>
        </row>
        <row r="12">
          <cell r="D12">
            <v>706</v>
          </cell>
          <cell r="E12">
            <v>106</v>
          </cell>
        </row>
        <row r="13">
          <cell r="D13">
            <v>2394</v>
          </cell>
          <cell r="E13">
            <v>287</v>
          </cell>
        </row>
        <row r="14">
          <cell r="D14">
            <v>1198</v>
          </cell>
          <cell r="E14">
            <v>136</v>
          </cell>
        </row>
        <row r="15">
          <cell r="D15">
            <v>5223</v>
          </cell>
          <cell r="E15">
            <v>790</v>
          </cell>
        </row>
        <row r="16">
          <cell r="D16">
            <v>2099</v>
          </cell>
          <cell r="E16">
            <v>146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1961</v>
          </cell>
          <cell r="E20">
            <v>96</v>
          </cell>
        </row>
      </sheetData>
      <sheetData sheetId="13">
        <row r="7">
          <cell r="D7">
            <v>9118</v>
          </cell>
        </row>
        <row r="8">
          <cell r="D8">
            <v>5242</v>
          </cell>
        </row>
        <row r="9">
          <cell r="D9">
            <v>3831</v>
          </cell>
        </row>
        <row r="10">
          <cell r="D10">
            <v>58</v>
          </cell>
        </row>
        <row r="11">
          <cell r="D11">
            <v>141</v>
          </cell>
        </row>
        <row r="12">
          <cell r="D12">
            <v>590</v>
          </cell>
        </row>
        <row r="13">
          <cell r="D13">
            <v>536</v>
          </cell>
        </row>
        <row r="14">
          <cell r="D14">
            <v>932</v>
          </cell>
        </row>
        <row r="15">
          <cell r="D15">
            <v>1574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45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8071</v>
          </cell>
          <cell r="E40">
            <v>856</v>
          </cell>
          <cell r="F40">
            <v>1162</v>
          </cell>
        </row>
        <row r="41">
          <cell r="D41">
            <v>3877</v>
          </cell>
          <cell r="E41">
            <v>370</v>
          </cell>
          <cell r="F41">
            <v>476</v>
          </cell>
        </row>
        <row r="42">
          <cell r="E42">
            <v>486</v>
          </cell>
          <cell r="F42">
            <v>646</v>
          </cell>
        </row>
        <row r="43">
          <cell r="E43"/>
          <cell r="F43">
            <v>40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609</v>
          </cell>
        </row>
      </sheetData>
      <sheetData sheetId="10"/>
      <sheetData sheetId="11"/>
      <sheetData sheetId="12">
        <row r="4">
          <cell r="J4">
            <v>137454</v>
          </cell>
        </row>
        <row r="8">
          <cell r="D8">
            <v>8071</v>
          </cell>
        </row>
        <row r="9">
          <cell r="D9">
            <v>3877</v>
          </cell>
          <cell r="E9">
            <v>97</v>
          </cell>
        </row>
        <row r="10">
          <cell r="D10">
            <v>4089</v>
          </cell>
        </row>
        <row r="11">
          <cell r="D11">
            <v>86</v>
          </cell>
          <cell r="E11">
            <v>4</v>
          </cell>
        </row>
        <row r="12">
          <cell r="D12">
            <v>210</v>
          </cell>
          <cell r="E12">
            <v>8</v>
          </cell>
        </row>
        <row r="13">
          <cell r="D13">
            <v>474</v>
          </cell>
          <cell r="E13">
            <v>11</v>
          </cell>
        </row>
        <row r="14">
          <cell r="D14">
            <v>509</v>
          </cell>
          <cell r="E14">
            <v>20</v>
          </cell>
        </row>
        <row r="15">
          <cell r="D15">
            <v>2299</v>
          </cell>
          <cell r="E15">
            <v>77</v>
          </cell>
        </row>
        <row r="16">
          <cell r="D16">
            <v>511</v>
          </cell>
          <cell r="E16">
            <v>5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105</v>
          </cell>
          <cell r="E20">
            <v>0</v>
          </cell>
        </row>
      </sheetData>
      <sheetData sheetId="13">
        <row r="7">
          <cell r="D7">
            <v>4866</v>
          </cell>
        </row>
        <row r="8">
          <cell r="D8">
            <v>1178</v>
          </cell>
        </row>
        <row r="9">
          <cell r="D9">
            <v>3688</v>
          </cell>
        </row>
        <row r="10">
          <cell r="D10">
            <v>67</v>
          </cell>
        </row>
        <row r="11">
          <cell r="D11">
            <v>385</v>
          </cell>
        </row>
        <row r="12">
          <cell r="D12">
            <v>384</v>
          </cell>
        </row>
        <row r="13">
          <cell r="D13">
            <v>217</v>
          </cell>
        </row>
        <row r="14">
          <cell r="D14">
            <v>56</v>
          </cell>
        </row>
        <row r="15">
          <cell r="D15">
            <v>2579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Änderungen geg. 2016"/>
      <sheetName val="Fußnoten"/>
      <sheetName val="SKL"/>
      <sheetName val="A+EStd"/>
      <sheetName val="VZLE"/>
      <sheetName val="Plausi"/>
      <sheetName val="ISCED"/>
      <sheetName val="Erläuterungen ISCED"/>
      <sheetName val="A_ABS"/>
      <sheetName val="A_BBS"/>
      <sheetName val="Absolventen_JG"/>
      <sheetName val="SopäFö"/>
      <sheetName val="SopäInt"/>
      <sheetName val="GtS"/>
      <sheetName val="GtS_VE"/>
      <sheetName val="Kurse"/>
      <sheetName val="AbiNoten"/>
      <sheetName val="OECD_U_F"/>
      <sheetName val="OECD_P_L"/>
      <sheetName val="OECD_L_G"/>
      <sheetName val="Religion"/>
    </sheetNames>
    <sheetDataSet>
      <sheetData sheetId="0"/>
      <sheetData sheetId="1"/>
      <sheetData sheetId="2"/>
      <sheetData sheetId="3">
        <row r="2">
          <cell r="C2" t="str">
            <v>2017/18</v>
          </cell>
        </row>
        <row r="40">
          <cell r="D40">
            <v>24333</v>
          </cell>
          <cell r="E40">
            <v>2937</v>
          </cell>
          <cell r="F40">
            <v>4554</v>
          </cell>
        </row>
        <row r="41">
          <cell r="D41">
            <v>6050</v>
          </cell>
          <cell r="E41">
            <v>606</v>
          </cell>
          <cell r="F41">
            <v>990</v>
          </cell>
        </row>
        <row r="42">
          <cell r="E42">
            <v>2331</v>
          </cell>
          <cell r="F42">
            <v>3564</v>
          </cell>
        </row>
        <row r="43">
          <cell r="E43">
            <v>0</v>
          </cell>
          <cell r="F43">
            <v>0</v>
          </cell>
        </row>
      </sheetData>
      <sheetData sheetId="4"/>
      <sheetData sheetId="5"/>
      <sheetData sheetId="6"/>
      <sheetData sheetId="7"/>
      <sheetData sheetId="8"/>
      <sheetData sheetId="9">
        <row r="23">
          <cell r="F23">
            <v>2123</v>
          </cell>
        </row>
      </sheetData>
      <sheetData sheetId="10"/>
      <sheetData sheetId="11"/>
      <sheetData sheetId="12">
        <row r="4">
          <cell r="J4">
            <v>764689</v>
          </cell>
        </row>
        <row r="8">
          <cell r="D8">
            <v>24333</v>
          </cell>
        </row>
        <row r="9">
          <cell r="D9">
            <v>6050</v>
          </cell>
          <cell r="E9">
            <v>551</v>
          </cell>
        </row>
        <row r="10">
          <cell r="D10">
            <v>18283</v>
          </cell>
        </row>
        <row r="11">
          <cell r="D11">
            <v>241</v>
          </cell>
          <cell r="E11">
            <v>54</v>
          </cell>
        </row>
        <row r="12">
          <cell r="D12">
            <v>823</v>
          </cell>
          <cell r="E12">
            <v>106</v>
          </cell>
        </row>
        <row r="13">
          <cell r="D13">
            <v>3330</v>
          </cell>
          <cell r="E13">
            <v>260</v>
          </cell>
        </row>
        <row r="14">
          <cell r="D14">
            <v>2074</v>
          </cell>
          <cell r="E14">
            <v>124</v>
          </cell>
        </row>
        <row r="15">
          <cell r="D15">
            <v>7962</v>
          </cell>
          <cell r="E15">
            <v>863</v>
          </cell>
        </row>
        <row r="16">
          <cell r="D16">
            <v>3853</v>
          </cell>
          <cell r="E16">
            <v>153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</sheetData>
      <sheetData sheetId="13">
        <row r="7">
          <cell r="D7">
            <v>29043</v>
          </cell>
        </row>
        <row r="8">
          <cell r="D8">
            <v>14485</v>
          </cell>
        </row>
        <row r="9">
          <cell r="D9">
            <v>14558</v>
          </cell>
        </row>
        <row r="10">
          <cell r="D10">
            <v>473</v>
          </cell>
        </row>
        <row r="11">
          <cell r="D11">
            <v>1423</v>
          </cell>
        </row>
        <row r="12">
          <cell r="D12">
            <v>3301</v>
          </cell>
        </row>
        <row r="13">
          <cell r="D13">
            <v>1648</v>
          </cell>
        </row>
        <row r="14">
          <cell r="D14">
            <v>2078</v>
          </cell>
        </row>
        <row r="15">
          <cell r="D15">
            <v>5635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N8" sqref="N8"/>
    </sheetView>
  </sheetViews>
  <sheetFormatPr baseColWidth="10" defaultRowHeight="12.75"/>
  <sheetData>
    <row r="1" spans="1:7">
      <c r="A1" s="130" t="s">
        <v>39</v>
      </c>
      <c r="B1" s="130"/>
      <c r="C1" s="130"/>
      <c r="D1" s="13"/>
      <c r="E1" s="13"/>
      <c r="F1" s="13"/>
      <c r="G1" s="14" t="s">
        <v>89</v>
      </c>
    </row>
    <row r="2" spans="1:7">
      <c r="A2" s="130" t="s">
        <v>40</v>
      </c>
      <c r="B2" s="130"/>
      <c r="C2" s="130"/>
      <c r="D2" s="13"/>
      <c r="E2" s="13"/>
      <c r="F2" s="13"/>
      <c r="G2" s="13"/>
    </row>
    <row r="3" spans="1:7">
      <c r="A3" s="130" t="s">
        <v>41</v>
      </c>
      <c r="B3" s="130"/>
      <c r="C3" s="130"/>
      <c r="D3" s="13"/>
      <c r="E3" s="13"/>
      <c r="F3" s="13"/>
      <c r="G3" s="13"/>
    </row>
    <row r="4" spans="1:7">
      <c r="A4" s="130" t="s">
        <v>42</v>
      </c>
      <c r="B4" s="130"/>
      <c r="C4" s="130"/>
      <c r="D4" s="13"/>
      <c r="E4" s="13"/>
      <c r="F4" s="13"/>
      <c r="G4" s="13"/>
    </row>
    <row r="5" spans="1:7">
      <c r="A5" s="15"/>
      <c r="B5" s="15"/>
      <c r="C5" s="15"/>
      <c r="D5" s="13"/>
      <c r="E5" s="13"/>
      <c r="F5" s="13"/>
      <c r="G5" s="13"/>
    </row>
    <row r="6" spans="1:7" ht="165" customHeight="1">
      <c r="A6" s="129" t="s">
        <v>90</v>
      </c>
      <c r="B6" s="129"/>
      <c r="C6" s="129"/>
      <c r="D6" s="129"/>
      <c r="E6" s="129"/>
      <c r="F6" s="129"/>
      <c r="G6" s="129"/>
    </row>
    <row r="7" spans="1:7">
      <c r="A7" s="129"/>
      <c r="B7" s="129"/>
      <c r="C7" s="129"/>
      <c r="D7" s="129"/>
      <c r="E7" s="129"/>
      <c r="F7" s="129"/>
      <c r="G7" s="129"/>
    </row>
    <row r="8" spans="1:7" ht="69.75" customHeight="1">
      <c r="A8" s="129"/>
      <c r="B8" s="129"/>
      <c r="C8" s="129"/>
      <c r="D8" s="129"/>
      <c r="E8" s="129"/>
      <c r="F8" s="129"/>
      <c r="G8" s="129"/>
    </row>
    <row r="9" spans="1:7" ht="26.25">
      <c r="A9" s="129"/>
      <c r="B9" s="129"/>
      <c r="C9" s="129"/>
      <c r="D9" s="129"/>
      <c r="E9" s="129"/>
      <c r="F9" s="129"/>
      <c r="G9" s="129"/>
    </row>
  </sheetData>
  <mergeCells count="6">
    <mergeCell ref="A9:G9"/>
    <mergeCell ref="A1:C1"/>
    <mergeCell ref="A2:C2"/>
    <mergeCell ref="A3:C3"/>
    <mergeCell ref="A4:C4"/>
    <mergeCell ref="A6:G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[5]SKL!C2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26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[5]SopäFö!$J$4</f>
        <v>56848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[5]SKL!D40</f>
        <v>657</v>
      </c>
      <c r="E8" s="83">
        <f>SUM(E9,E10,E20)</f>
        <v>95</v>
      </c>
      <c r="F8" s="83">
        <f>[5]SKL!E40</f>
        <v>107</v>
      </c>
      <c r="G8" s="84">
        <f>[5]SKL!F40</f>
        <v>144.55416419033702</v>
      </c>
      <c r="H8" s="103">
        <f>IFERROR(D8*100/(D8+[5]SopäInt!D7),0)</f>
        <v>15.318256003730474</v>
      </c>
      <c r="I8" s="104">
        <f>IFERROR([5]SopäInt!D7*100/([5]SopäInt!D7+[5]SopäFö!D8),0)</f>
        <v>84.681743996269532</v>
      </c>
      <c r="J8" s="103">
        <f>(D8-D20+[5]SopäInt!D7-[5]SopäInt!D19)*100/$J$4</f>
        <v>7.2931325640303966</v>
      </c>
      <c r="K8" s="115">
        <f>(D8-D20)*100/$J$4</f>
        <v>0.90416549394877566</v>
      </c>
    </row>
    <row r="9" spans="1:11" ht="24.75" customHeight="1" thickTop="1">
      <c r="A9" s="142" t="s">
        <v>11</v>
      </c>
      <c r="B9" s="143"/>
      <c r="C9" s="143"/>
      <c r="D9" s="23">
        <f>[5]SKL!D41</f>
        <v>127</v>
      </c>
      <c r="E9" s="7">
        <f>[5]SopäFö!E9</f>
        <v>4</v>
      </c>
      <c r="F9" s="24">
        <f>[5]SKL!E41</f>
        <v>13</v>
      </c>
      <c r="G9" s="79">
        <f>[5]SKL!F41</f>
        <v>14.45660381184682</v>
      </c>
      <c r="H9" s="105">
        <f>IFERROR(D9*100/(D9+[5]SopäInt!D8),0)</f>
        <v>5.3115851108322873</v>
      </c>
      <c r="I9" s="106">
        <f>IFERROR([5]SopäInt!D8*100/([5]SopäInt!D8+[5]SopäFö!D9),0)</f>
        <v>94.688414889167717</v>
      </c>
      <c r="J9" s="105">
        <f>(D9+[5]SopäInt!D8)*100/$J$4</f>
        <v>4.2059527160146359</v>
      </c>
      <c r="K9" s="116">
        <f>D9*100/$J$4</f>
        <v>0.2234027582324796</v>
      </c>
    </row>
    <row r="10" spans="1:11" ht="24.75" customHeight="1">
      <c r="A10" s="144" t="s">
        <v>12</v>
      </c>
      <c r="B10" s="145"/>
      <c r="C10" s="146"/>
      <c r="D10" s="22">
        <f>SUM(D11:D19)</f>
        <v>387</v>
      </c>
      <c r="E10" s="33">
        <f>SUM(E11:E19)</f>
        <v>91</v>
      </c>
      <c r="F10" s="33">
        <f>[5]SKL!E42</f>
        <v>71</v>
      </c>
      <c r="G10" s="78">
        <f>[5]SKL!F42</f>
        <v>110.87533815626799</v>
      </c>
      <c r="H10" s="107">
        <f>IFERROR(D10*100/(D10+[5]SopäInt!D9),0)</f>
        <v>22.051282051282051</v>
      </c>
      <c r="I10" s="108">
        <f>IFERROR([5]SopäInt!D9*100/([5]SopäInt!D9+[5]SopäFö!D10),0)</f>
        <v>77.948717948717942</v>
      </c>
      <c r="J10" s="107">
        <f>(D10+[5]SopäInt!D9)*100/$J$4</f>
        <v>3.0871798480157615</v>
      </c>
      <c r="K10" s="117">
        <f t="shared" ref="K10:K19" si="0">D10*100/$J$4</f>
        <v>0.68076273571629609</v>
      </c>
    </row>
    <row r="11" spans="1:11" ht="24.75" customHeight="1">
      <c r="A11" s="36"/>
      <c r="B11" s="36" t="s">
        <v>13</v>
      </c>
      <c r="C11" s="85"/>
      <c r="D11" s="8">
        <f>[5]SopäFö!D11</f>
        <v>77</v>
      </c>
      <c r="E11" s="7">
        <f>[5]SopäFö!E11</f>
        <v>19</v>
      </c>
      <c r="F11" s="88"/>
      <c r="G11" s="80"/>
      <c r="H11" s="109">
        <f>IFERROR(D11*100/(D11+[5]SopäInt!D10),0)</f>
        <v>66.956521739130437</v>
      </c>
      <c r="I11" s="106">
        <f>IFERROR([5]SopäInt!D10*100/([5]SopäInt!D10+[5]SopäFö!D11),0)</f>
        <v>33.043478260869563</v>
      </c>
      <c r="J11" s="109">
        <f>(D11+[5]SopäInt!D10)*100/$J$4</f>
        <v>0.20229383619476499</v>
      </c>
      <c r="K11" s="116">
        <f t="shared" si="0"/>
        <v>0.13544891640866874</v>
      </c>
    </row>
    <row r="12" spans="1:11" ht="24.75" customHeight="1">
      <c r="A12" s="40"/>
      <c r="B12" s="41" t="s">
        <v>14</v>
      </c>
      <c r="C12" s="41"/>
      <c r="D12" s="42">
        <f>[5]SopäFö!D12</f>
        <v>82</v>
      </c>
      <c r="E12" s="87">
        <f>[5]SopäFö!E12</f>
        <v>17</v>
      </c>
      <c r="F12" s="89"/>
      <c r="G12" s="80"/>
      <c r="H12" s="110">
        <f>IFERROR(D12*100/(D12+[5]SopäInt!D11),0)</f>
        <v>56.551724137931032</v>
      </c>
      <c r="I12" s="111">
        <f>IFERROR([5]SopäInt!D11*100/([5]SopäInt!D11+[5]SopäFö!D12),0)</f>
        <v>43.448275862068968</v>
      </c>
      <c r="J12" s="110">
        <f>(D12+[5]SopäInt!D11)*100/$J$4</f>
        <v>0.25506614128905153</v>
      </c>
      <c r="K12" s="118">
        <f t="shared" si="0"/>
        <v>0.14424430059104981</v>
      </c>
    </row>
    <row r="13" spans="1:11" ht="24.75" customHeight="1">
      <c r="A13" s="45"/>
      <c r="B13" s="46" t="s">
        <v>15</v>
      </c>
      <c r="C13" s="86"/>
      <c r="D13" s="8">
        <f>[5]SopäFö!D13</f>
        <v>0</v>
      </c>
      <c r="E13" s="7">
        <f>[5]SopäFö!E13</f>
        <v>0</v>
      </c>
      <c r="F13" s="89"/>
      <c r="G13" s="80"/>
      <c r="H13" s="109">
        <f>IFERROR(D13*100/(D13+[5]SopäInt!D12),0)</f>
        <v>0</v>
      </c>
      <c r="I13" s="106">
        <f>IFERROR([5]SopäInt!D12*100/([5]SopäInt!D12+[5]SopäFö!D13),0)</f>
        <v>100</v>
      </c>
      <c r="J13" s="109">
        <f>(D13+[5]SopäInt!D12)*100/$J$4</f>
        <v>0.15128060793695469</v>
      </c>
      <c r="K13" s="116">
        <f t="shared" si="0"/>
        <v>0</v>
      </c>
    </row>
    <row r="14" spans="1:11" ht="24.75" customHeight="1">
      <c r="A14" s="50"/>
      <c r="B14" s="41" t="s">
        <v>16</v>
      </c>
      <c r="C14" s="51"/>
      <c r="D14" s="42">
        <f>[5]SopäFö!D14</f>
        <v>129</v>
      </c>
      <c r="E14" s="87">
        <f>[5]SopäFö!E14</f>
        <v>38</v>
      </c>
      <c r="F14" s="89"/>
      <c r="G14" s="80"/>
      <c r="H14" s="110">
        <f>IFERROR(D14*100/(D14+[5]SopäInt!D13),0)</f>
        <v>69.729729729729726</v>
      </c>
      <c r="I14" s="111">
        <f>IFERROR([5]SopäInt!D13*100/([5]SopäInt!D13+[5]SopäFö!D14),0)</f>
        <v>30.27027027027027</v>
      </c>
      <c r="J14" s="110">
        <f>(D14+[5]SopäInt!D13)*100/$J$4</f>
        <v>0.32542921474810022</v>
      </c>
      <c r="K14" s="118">
        <f t="shared" si="0"/>
        <v>0.22692091190543204</v>
      </c>
    </row>
    <row r="15" spans="1:11" ht="24.75" customHeight="1">
      <c r="A15" s="52"/>
      <c r="B15" s="46" t="s">
        <v>17</v>
      </c>
      <c r="C15" s="46"/>
      <c r="D15" s="8">
        <f>[5]SopäFö!D15</f>
        <v>29</v>
      </c>
      <c r="E15" s="7">
        <f>[5]SopäFö!E15</f>
        <v>10</v>
      </c>
      <c r="F15" s="89"/>
      <c r="G15" s="80"/>
      <c r="H15" s="109">
        <f>IFERROR(D15*100/(D15+[5]SopäInt!D14),0)</f>
        <v>3.4855769230769229</v>
      </c>
      <c r="I15" s="106">
        <f>IFERROR([5]SopäInt!D14*100/([5]SopäInt!D14+[5]SopäFö!D15),0)</f>
        <v>96.51442307692308</v>
      </c>
      <c r="J15" s="109">
        <f>(D15+[5]SopäInt!D14)*100/$J$4</f>
        <v>1.4635519279482128</v>
      </c>
      <c r="K15" s="116">
        <f t="shared" si="0"/>
        <v>5.1013228257810302E-2</v>
      </c>
    </row>
    <row r="16" spans="1:11" ht="24.75" customHeight="1">
      <c r="A16" s="40"/>
      <c r="B16" s="41" t="s">
        <v>18</v>
      </c>
      <c r="C16" s="41"/>
      <c r="D16" s="42">
        <f>[5]SopäFö!D16</f>
        <v>70</v>
      </c>
      <c r="E16" s="87">
        <f>[5]SopäFö!E16</f>
        <v>7</v>
      </c>
      <c r="F16" s="89"/>
      <c r="G16" s="80"/>
      <c r="H16" s="110">
        <f>IFERROR(D16*100/(D16+[5]SopäInt!D15),0)</f>
        <v>17.857142857142858</v>
      </c>
      <c r="I16" s="111">
        <f>IFERROR([5]SopäInt!D15*100/([5]SopäInt!D15+[5]SopäFö!D16),0)</f>
        <v>82.142857142857139</v>
      </c>
      <c r="J16" s="110">
        <f>(D16+[5]SopäInt!D15)*100/$J$4</f>
        <v>0.68955811989867721</v>
      </c>
      <c r="K16" s="118">
        <f t="shared" si="0"/>
        <v>0.12313537855333521</v>
      </c>
    </row>
    <row r="17" spans="1:11" ht="24.75" customHeight="1">
      <c r="A17" s="45"/>
      <c r="B17" s="46" t="s">
        <v>19</v>
      </c>
      <c r="C17" s="46"/>
      <c r="D17" s="8">
        <f>[5]SopäFö!D17</f>
        <v>0</v>
      </c>
      <c r="E17" s="7">
        <f>[5]SopäFö!E17</f>
        <v>0</v>
      </c>
      <c r="F17" s="89"/>
      <c r="G17" s="80"/>
      <c r="H17" s="109">
        <f>IFERROR(D17*100/(D17+[5]SopäInt!D16),0)</f>
        <v>0</v>
      </c>
      <c r="I17" s="106">
        <f>IFERROR([5]SopäInt!D16*100/([5]SopäInt!D16+[5]SopäFö!D17),0)</f>
        <v>0</v>
      </c>
      <c r="J17" s="109">
        <f>(D17+[5]SopäInt!D16)*100/$J$4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[5]SopäFö!D18</f>
        <v>0</v>
      </c>
      <c r="E18" s="87">
        <f>[5]SopäFö!E18</f>
        <v>0</v>
      </c>
      <c r="F18" s="89"/>
      <c r="G18" s="80"/>
      <c r="H18" s="110">
        <f>IFERROR(D18*100/(D18+[5]SopäInt!D17),0)</f>
        <v>0</v>
      </c>
      <c r="I18" s="111">
        <f>IFERROR([5]SopäInt!D17*100/([5]SopäInt!D17+[5]SopäFö!D18),0)</f>
        <v>0</v>
      </c>
      <c r="J18" s="110">
        <f>(D18+[5]SopäInt!D17)*100/$J$4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[5]SopäFö!D19</f>
        <v>0</v>
      </c>
      <c r="E19" s="7">
        <f>[5]SopäFö!E19</f>
        <v>0</v>
      </c>
      <c r="F19" s="89"/>
      <c r="G19" s="80"/>
      <c r="H19" s="109">
        <f>IFERROR(D19*100/(D19+[5]SopäInt!D18),0)</f>
        <v>0</v>
      </c>
      <c r="I19" s="106">
        <f>IFERROR([5]SopäInt!D18*100/([5]SopäInt!D18+[5]SopäFö!D19),0)</f>
        <v>0</v>
      </c>
      <c r="J19" s="109">
        <f>(D19+[5]SopäInt!D18)*100/$J$4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[5]SopäFö!D20</f>
        <v>143</v>
      </c>
      <c r="E20" s="96">
        <f>[5]SopäFö!E20</f>
        <v>0</v>
      </c>
      <c r="F20" s="33">
        <f>[5]SKL!E43</f>
        <v>23</v>
      </c>
      <c r="G20" s="78">
        <f>[5]SKL!F43</f>
        <v>19.222222222222221</v>
      </c>
      <c r="H20" s="112">
        <f>IFERROR(D20*100/(D20+[5]SopäInt!D19),0)</f>
        <v>100</v>
      </c>
      <c r="I20" s="113">
        <f>IFERROR([5]SopäInt!D19*100/([5]SopäInt!D19+[5]SopäFö!D20),0)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K93"/>
  <sheetViews>
    <sheetView zoomScaleNormal="100" workbookViewId="0">
      <selection activeCell="D13" sqref="D13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[6]SKL!C2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27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[6]SopäFö!$J$4</f>
        <v>153608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[6]SKL!D40</f>
        <v>4512</v>
      </c>
      <c r="E8" s="83">
        <f>SUM(E9,E10,E20)</f>
        <v>741</v>
      </c>
      <c r="F8" s="83">
        <f>[6]SKL!E40</f>
        <v>479</v>
      </c>
      <c r="G8" s="84">
        <f>[6]SKL!F40</f>
        <v>747</v>
      </c>
      <c r="H8" s="103">
        <f>IFERROR(D8*100/(D8+[6]SopäInt!D7),0)</f>
        <v>33.752244165170559</v>
      </c>
      <c r="I8" s="104">
        <f>IFERROR([6]SopäInt!D7*100/([6]SopäInt!D7+[6]SopäFö!D8),0)</f>
        <v>66.247755834829448</v>
      </c>
      <c r="J8" s="103">
        <f>(D8-D20+[6]SopäInt!D7-[6]SopäInt!D19)*100/$J$4</f>
        <v>8.7026717358470904</v>
      </c>
      <c r="K8" s="115">
        <f>(D8-D20)*100/$J$4</f>
        <v>2.9373470131763972</v>
      </c>
    </row>
    <row r="9" spans="1:11" ht="24.75" customHeight="1" thickTop="1">
      <c r="A9" s="142" t="s">
        <v>11</v>
      </c>
      <c r="B9" s="143"/>
      <c r="C9" s="143"/>
      <c r="D9" s="23">
        <f>[6]SKL!D41</f>
        <v>1439</v>
      </c>
      <c r="E9" s="7">
        <f>[6]SopäFö!E9</f>
        <v>255</v>
      </c>
      <c r="F9" s="24">
        <f>[6]SKL!E41</f>
        <v>120</v>
      </c>
      <c r="G9" s="79">
        <f>[6]SKL!F41</f>
        <v>336</v>
      </c>
      <c r="H9" s="105">
        <f>IFERROR(D9*100/(D9+[6]SopäInt!D8),0)</f>
        <v>25.564043346953277</v>
      </c>
      <c r="I9" s="106">
        <f>IFERROR([6]SopäInt!D8*100/([6]SopäInt!D8+[6]SopäFö!D9),0)</f>
        <v>74.435956653046716</v>
      </c>
      <c r="J9" s="105">
        <f>(D9+[6]SopäInt!D8)*100/$J$4</f>
        <v>3.6645226811103586</v>
      </c>
      <c r="K9" s="116">
        <f>D9*100/$J$4</f>
        <v>0.9368001666579866</v>
      </c>
    </row>
    <row r="10" spans="1:11" ht="24.75" customHeight="1">
      <c r="A10" s="144" t="s">
        <v>12</v>
      </c>
      <c r="B10" s="145"/>
      <c r="C10" s="146"/>
      <c r="D10" s="22">
        <f>SUM(D11:D19)</f>
        <v>3073</v>
      </c>
      <c r="E10" s="33">
        <f>SUM(E11:E19)</f>
        <v>486</v>
      </c>
      <c r="F10" s="33">
        <f>[6]SKL!E42</f>
        <v>359</v>
      </c>
      <c r="G10" s="78">
        <f>[6]SKL!F42</f>
        <v>411</v>
      </c>
      <c r="H10" s="107">
        <f>IFERROR(D10*100/(D10+[6]SopäInt!D9),0)</f>
        <v>39.707972606279881</v>
      </c>
      <c r="I10" s="108">
        <f>IFERROR([6]SopäInt!D9*100/([6]SopäInt!D9+[6]SopäFö!D10),0)</f>
        <v>60.292027393720119</v>
      </c>
      <c r="J10" s="107">
        <f>(D10+[6]SopäInt!D9)*100/$J$4</f>
        <v>5.0381490547367322</v>
      </c>
      <c r="K10" s="117">
        <f t="shared" ref="K10:K19" si="0">D10*100/$J$4</f>
        <v>2.0005468465184104</v>
      </c>
    </row>
    <row r="11" spans="1:11" ht="24.75" customHeight="1">
      <c r="A11" s="36"/>
      <c r="B11" s="36" t="s">
        <v>13</v>
      </c>
      <c r="C11" s="85"/>
      <c r="D11" s="8">
        <f>[6]SopäFö!D11</f>
        <v>111</v>
      </c>
      <c r="E11" s="7">
        <f>[6]SopäFö!E11</f>
        <v>21</v>
      </c>
      <c r="F11" s="88"/>
      <c r="G11" s="80"/>
      <c r="H11" s="109">
        <f>IFERROR(D11*100/(D11+[6]SopäInt!D10),0)</f>
        <v>63.428571428571431</v>
      </c>
      <c r="I11" s="106">
        <f>IFERROR([6]SopäInt!D10*100/([6]SopäInt!D10+[6]SopäFö!D11),0)</f>
        <v>36.571428571428569</v>
      </c>
      <c r="J11" s="109">
        <f>(D11+[6]SopäInt!D10)*100/$J$4</f>
        <v>0.11392635800218738</v>
      </c>
      <c r="K11" s="116">
        <f t="shared" si="0"/>
        <v>7.2261861361387431E-2</v>
      </c>
    </row>
    <row r="12" spans="1:11" ht="24.75" customHeight="1">
      <c r="A12" s="40"/>
      <c r="B12" s="41" t="s">
        <v>14</v>
      </c>
      <c r="C12" s="41"/>
      <c r="D12" s="42">
        <f>[6]SopäFö!D12</f>
        <v>213</v>
      </c>
      <c r="E12" s="87">
        <f>[6]SopäFö!E12</f>
        <v>45</v>
      </c>
      <c r="F12" s="89"/>
      <c r="G12" s="80"/>
      <c r="H12" s="110">
        <f>IFERROR(D12*100/(D12+[6]SopäInt!D11),0)</f>
        <v>55.181347150259064</v>
      </c>
      <c r="I12" s="111">
        <f>IFERROR([6]SopäInt!D11*100/([6]SopäInt!D11+[6]SopäFö!D12),0)</f>
        <v>44.818652849740936</v>
      </c>
      <c r="J12" s="110">
        <f>(D12+[6]SopäInt!D11)*100/$J$4</f>
        <v>0.25128899536482474</v>
      </c>
      <c r="K12" s="118">
        <f t="shared" si="0"/>
        <v>0.13866465288266236</v>
      </c>
    </row>
    <row r="13" spans="1:11" ht="24.75" customHeight="1">
      <c r="A13" s="45"/>
      <c r="B13" s="46" t="s">
        <v>15</v>
      </c>
      <c r="C13" s="86"/>
      <c r="D13" s="8">
        <f>[6]SopäFö!D13</f>
        <v>549</v>
      </c>
      <c r="E13" s="7">
        <f>[6]SopäFö!E13</f>
        <v>81</v>
      </c>
      <c r="F13" s="89"/>
      <c r="G13" s="80"/>
      <c r="H13" s="109">
        <f>IFERROR(D13*100/(D13+[6]SopäInt!D12),0)</f>
        <v>35.510996119016816</v>
      </c>
      <c r="I13" s="106">
        <f>IFERROR([6]SopäInt!D12*100/([6]SopäInt!D12+[6]SopäFö!D13),0)</f>
        <v>64.489003880983176</v>
      </c>
      <c r="J13" s="109">
        <f>(D13+[6]SopäInt!D12)*100/$J$4</f>
        <v>1.0064579969793239</v>
      </c>
      <c r="K13" s="116">
        <f t="shared" si="0"/>
        <v>0.35740326024686214</v>
      </c>
    </row>
    <row r="14" spans="1:11" ht="24.75" customHeight="1">
      <c r="A14" s="50"/>
      <c r="B14" s="41" t="s">
        <v>16</v>
      </c>
      <c r="C14" s="51"/>
      <c r="D14" s="42">
        <f>[6]SopäFö!D14</f>
        <v>580</v>
      </c>
      <c r="E14" s="87">
        <f>[6]SopäFö!E14</f>
        <v>90</v>
      </c>
      <c r="F14" s="89"/>
      <c r="G14" s="80"/>
      <c r="H14" s="110">
        <f>IFERROR(D14*100/(D14+[6]SopäInt!D13),0)</f>
        <v>51.785714285714285</v>
      </c>
      <c r="I14" s="111">
        <f>IFERROR([6]SopäInt!D13*100/([6]SopäInt!D13+[6]SopäFö!D14),0)</f>
        <v>48.214285714285715</v>
      </c>
      <c r="J14" s="110">
        <f>(D14+[6]SopäInt!D13)*100/$J$4</f>
        <v>0.72912869121399926</v>
      </c>
      <c r="K14" s="118">
        <f t="shared" si="0"/>
        <v>0.37758450080724965</v>
      </c>
    </row>
    <row r="15" spans="1:11" ht="24.75" customHeight="1">
      <c r="A15" s="52"/>
      <c r="B15" s="46" t="s">
        <v>17</v>
      </c>
      <c r="C15" s="46"/>
      <c r="D15" s="8">
        <f>[6]SopäFö!D15</f>
        <v>954</v>
      </c>
      <c r="E15" s="7">
        <f>[6]SopäFö!E15</f>
        <v>183</v>
      </c>
      <c r="F15" s="89"/>
      <c r="G15" s="80"/>
      <c r="H15" s="109">
        <f>IFERROR(D15*100/(D15+[6]SopäInt!D14),0)</f>
        <v>65.88397790055248</v>
      </c>
      <c r="I15" s="106">
        <f>IFERROR([6]SopäInt!D14*100/([6]SopäInt!D14+[6]SopäFö!D15),0)</f>
        <v>34.116022099447513</v>
      </c>
      <c r="J15" s="109">
        <f>(D15+[6]SopäInt!D14)*100/$J$4</f>
        <v>0.94265923649809902</v>
      </c>
      <c r="K15" s="116">
        <f t="shared" si="0"/>
        <v>0.62106140305192437</v>
      </c>
    </row>
    <row r="16" spans="1:11" ht="24.75" customHeight="1">
      <c r="A16" s="40"/>
      <c r="B16" s="41" t="s">
        <v>18</v>
      </c>
      <c r="C16" s="41"/>
      <c r="D16" s="42">
        <f>[6]SopäFö!D16</f>
        <v>21</v>
      </c>
      <c r="E16" s="87">
        <f>[6]SopäFö!E16</f>
        <v>1</v>
      </c>
      <c r="F16" s="89"/>
      <c r="G16" s="80"/>
      <c r="H16" s="110">
        <f>IFERROR(D16*100/(D16+[6]SopäInt!D15),0)</f>
        <v>0.98452883263009849</v>
      </c>
      <c r="I16" s="111">
        <f>IFERROR([6]SopäInt!D15*100/([6]SopäInt!D15+[6]SopäFö!D16),0)</f>
        <v>99.015471167369896</v>
      </c>
      <c r="J16" s="110">
        <f>(D16+[6]SopäInt!D15)*100/$J$4</f>
        <v>1.3885995521066612</v>
      </c>
      <c r="K16" s="118">
        <f t="shared" si="0"/>
        <v>1.3671162960262486E-2</v>
      </c>
    </row>
    <row r="17" spans="1:11" ht="24.75" customHeight="1">
      <c r="A17" s="45"/>
      <c r="B17" s="46" t="s">
        <v>19</v>
      </c>
      <c r="C17" s="46"/>
      <c r="D17" s="8">
        <f>[6]SopäFö!D17</f>
        <v>645</v>
      </c>
      <c r="E17" s="7">
        <f>[6]SopäFö!E17</f>
        <v>65</v>
      </c>
      <c r="F17" s="89"/>
      <c r="G17" s="80"/>
      <c r="H17" s="109">
        <f>IFERROR(D17*100/(D17+[6]SopäInt!D16),0)</f>
        <v>100</v>
      </c>
      <c r="I17" s="106">
        <f>IFERROR([6]SopäInt!D16*100/([6]SopäInt!D16+[6]SopäFö!D17),0)</f>
        <v>0</v>
      </c>
      <c r="J17" s="109">
        <f>(D17+[6]SopäInt!D16)*100/$J$4</f>
        <v>0.41990000520806209</v>
      </c>
      <c r="K17" s="116">
        <f t="shared" si="0"/>
        <v>0.41990000520806209</v>
      </c>
    </row>
    <row r="18" spans="1:11" ht="24.75" customHeight="1">
      <c r="A18" s="50"/>
      <c r="B18" s="41" t="s">
        <v>20</v>
      </c>
      <c r="C18" s="41"/>
      <c r="D18" s="42">
        <f>[6]SopäFö!D18</f>
        <v>0</v>
      </c>
      <c r="E18" s="87">
        <f>[6]SopäFö!E18</f>
        <v>0</v>
      </c>
      <c r="F18" s="89"/>
      <c r="G18" s="80"/>
      <c r="H18" s="110">
        <f>IFERROR(D18*100/(D18+[6]SopäInt!D17),0)</f>
        <v>0</v>
      </c>
      <c r="I18" s="111">
        <f>IFERROR([6]SopäInt!D17*100/([6]SopäInt!D17+[6]SopäFö!D18),0)</f>
        <v>0</v>
      </c>
      <c r="J18" s="110">
        <f>(D18+[6]SopäInt!D17)*100/$J$4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[6]SopäFö!D19</f>
        <v>0</v>
      </c>
      <c r="E19" s="7">
        <f>[6]SopäFö!E19</f>
        <v>0</v>
      </c>
      <c r="F19" s="89"/>
      <c r="G19" s="80"/>
      <c r="H19" s="109">
        <f>IFERROR(D19*100/(D19+[6]SopäInt!D18),0)</f>
        <v>0</v>
      </c>
      <c r="I19" s="106">
        <f>IFERROR([6]SopäInt!D18*100/([6]SopäInt!D18+[6]SopäFö!D19),0)</f>
        <v>100</v>
      </c>
      <c r="J19" s="109">
        <f>(D19+[6]SopäInt!D18)*100/$J$4</f>
        <v>0.18618821936357483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[6]SopäFö!D20</f>
        <v>0</v>
      </c>
      <c r="E20" s="96">
        <f>[6]SopäFö!E20</f>
        <v>0</v>
      </c>
      <c r="F20" s="33">
        <f>[6]SKL!E43</f>
        <v>0</v>
      </c>
      <c r="G20" s="78">
        <f>[6]SKL!F43</f>
        <v>0</v>
      </c>
      <c r="H20" s="112">
        <f>IFERROR(D20*100/(D20+[6]SopäInt!D19),0)</f>
        <v>0</v>
      </c>
      <c r="I20" s="113">
        <f>IFERROR([6]SopäInt!D19*100/([6]SopäInt!D19+[6]SopäFö!D20),0)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[7]SKL!C2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28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[7]SopäFö!$J$4</f>
        <v>554333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[7]SKL!D40</f>
        <v>21653</v>
      </c>
      <c r="E8" s="83">
        <f>SUM(E9,E10,E20)</f>
        <v>3272</v>
      </c>
      <c r="F8" s="83">
        <f>[7]SKL!E40</f>
        <v>2455</v>
      </c>
      <c r="G8" s="84">
        <f>[7]SKL!F40</f>
        <v>5573.4512618109638</v>
      </c>
      <c r="H8" s="103">
        <f>IFERROR(D8*100/(D8+[7]SopäInt!D7),0)</f>
        <v>70.368203828279874</v>
      </c>
      <c r="I8" s="104">
        <f>IFERROR([7]SopäInt!D7*100/([7]SopäInt!D7+[7]SopäFö!D8),0)</f>
        <v>29.631796171720126</v>
      </c>
      <c r="J8" s="103">
        <f>(D8-D20+[7]SopäInt!D7-[7]SopäInt!D19)*100/$J$4</f>
        <v>5.1891191756579529</v>
      </c>
      <c r="K8" s="115">
        <f>(D8-D20)*100/$J$4</f>
        <v>3.5523773616219851</v>
      </c>
    </row>
    <row r="9" spans="1:11" ht="24.75" customHeight="1" thickTop="1">
      <c r="A9" s="142" t="s">
        <v>11</v>
      </c>
      <c r="B9" s="143"/>
      <c r="C9" s="143"/>
      <c r="D9" s="23">
        <f>[7]SKL!D41</f>
        <v>7768</v>
      </c>
      <c r="E9" s="7">
        <f>[7]SopäFö!E9</f>
        <v>1670</v>
      </c>
      <c r="F9" s="24">
        <f>[7]SKL!E41</f>
        <v>680</v>
      </c>
      <c r="G9" s="79">
        <f>[7]SKL!F41</f>
        <v>2330.5368456209103</v>
      </c>
      <c r="H9" s="105">
        <f>IFERROR(D9*100/(D9+[7]SopäInt!D8),0)</f>
        <v>59.707916986933128</v>
      </c>
      <c r="I9" s="106">
        <f>IFERROR([7]SopäInt!D8*100/([7]SopäInt!D8+[7]SopäFö!D9),0)</f>
        <v>40.292083013066872</v>
      </c>
      <c r="J9" s="105">
        <f>(D9+[7]SopäInt!D8)*100/$J$4</f>
        <v>2.3469647305861279</v>
      </c>
      <c r="K9" s="116">
        <f>D9*100/$J$4</f>
        <v>1.4013237530509639</v>
      </c>
    </row>
    <row r="10" spans="1:11" ht="24.75" customHeight="1">
      <c r="A10" s="144" t="s">
        <v>12</v>
      </c>
      <c r="B10" s="145"/>
      <c r="C10" s="146"/>
      <c r="D10" s="22">
        <f>SUM(D11:D19)</f>
        <v>11924</v>
      </c>
      <c r="E10" s="33">
        <f>SUM(E11:E19)</f>
        <v>1506</v>
      </c>
      <c r="F10" s="33">
        <f>[7]SKL!E42</f>
        <v>1531</v>
      </c>
      <c r="G10" s="78">
        <f>[7]SKL!F42</f>
        <v>3047.2918192908628</v>
      </c>
      <c r="H10" s="107">
        <f>IFERROR(D10*100/(D10+[7]SopäInt!D9),0)</f>
        <v>75.683909869882584</v>
      </c>
      <c r="I10" s="108">
        <f>IFERROR([7]SopäInt!D9*100/([7]SopäInt!D9+[7]SopäFö!D10),0)</f>
        <v>24.316090130117423</v>
      </c>
      <c r="J10" s="107">
        <f>(D10+[7]SopäInt!D9)*100/$J$4</f>
        <v>2.842154445071825</v>
      </c>
      <c r="K10" s="117">
        <f t="shared" ref="K10:K19" si="0">D10*100/$J$4</f>
        <v>2.1510536085710212</v>
      </c>
    </row>
    <row r="11" spans="1:11" ht="24.75" customHeight="1">
      <c r="A11" s="36"/>
      <c r="B11" s="36" t="s">
        <v>13</v>
      </c>
      <c r="C11" s="85"/>
      <c r="D11" s="8">
        <f>[7]SopäFö!D11</f>
        <v>304</v>
      </c>
      <c r="E11" s="7">
        <f>[7]SopäFö!E11</f>
        <v>41</v>
      </c>
      <c r="F11" s="88"/>
      <c r="G11" s="80"/>
      <c r="H11" s="109">
        <f>IFERROR(D11*100/(D11+[7]SopäInt!D10),0)</f>
        <v>83.97790055248619</v>
      </c>
      <c r="I11" s="106">
        <f>IFERROR([7]SopäInt!D10*100/([7]SopäInt!D10+[7]SopäFö!D11),0)</f>
        <v>16.022099447513813</v>
      </c>
      <c r="J11" s="109">
        <f>(D11+[7]SopäInt!D10)*100/$J$4</f>
        <v>6.5303707338368808E-2</v>
      </c>
      <c r="K11" s="116">
        <f t="shared" si="0"/>
        <v>5.4840682405701988E-2</v>
      </c>
    </row>
    <row r="12" spans="1:11" ht="24.75" customHeight="1">
      <c r="A12" s="40"/>
      <c r="B12" s="41" t="s">
        <v>14</v>
      </c>
      <c r="C12" s="41"/>
      <c r="D12" s="42">
        <f>[7]SopäFö!D12</f>
        <v>706</v>
      </c>
      <c r="E12" s="87">
        <f>[7]SopäFö!E12</f>
        <v>106</v>
      </c>
      <c r="F12" s="89"/>
      <c r="G12" s="80"/>
      <c r="H12" s="110">
        <f>IFERROR(D12*100/(D12+[7]SopäInt!D11),0)</f>
        <v>83.353010625737895</v>
      </c>
      <c r="I12" s="111">
        <f>IFERROR([7]SopäInt!D11*100/([7]SopäInt!D11+[7]SopäFö!D12),0)</f>
        <v>16.646989374262102</v>
      </c>
      <c r="J12" s="110">
        <f>(D12+[7]SopäInt!D11)*100/$J$4</f>
        <v>0.15279624341325521</v>
      </c>
      <c r="K12" s="118">
        <f t="shared" si="0"/>
        <v>0.12736026900797895</v>
      </c>
    </row>
    <row r="13" spans="1:11" ht="24.75" customHeight="1">
      <c r="A13" s="45"/>
      <c r="B13" s="46" t="s">
        <v>15</v>
      </c>
      <c r="C13" s="86"/>
      <c r="D13" s="8">
        <f>[7]SopäFö!D13</f>
        <v>2394</v>
      </c>
      <c r="E13" s="7">
        <f>[7]SopäFö!E13</f>
        <v>287</v>
      </c>
      <c r="F13" s="89"/>
      <c r="G13" s="80"/>
      <c r="H13" s="109">
        <f>IFERROR(D13*100/(D13+[7]SopäInt!D12),0)</f>
        <v>80.227882037533519</v>
      </c>
      <c r="I13" s="106">
        <f>IFERROR([7]SopäInt!D12*100/([7]SopäInt!D12+[7]SopäFö!D13),0)</f>
        <v>19.772117962466488</v>
      </c>
      <c r="J13" s="109">
        <f>(D13+[7]SopäInt!D12)*100/$J$4</f>
        <v>0.53830459308754841</v>
      </c>
      <c r="K13" s="116">
        <f t="shared" si="0"/>
        <v>0.43187037394490313</v>
      </c>
    </row>
    <row r="14" spans="1:11" ht="24.75" customHeight="1">
      <c r="A14" s="50"/>
      <c r="B14" s="41" t="s">
        <v>16</v>
      </c>
      <c r="C14" s="51"/>
      <c r="D14" s="42">
        <f>[7]SopäFö!D14</f>
        <v>1198</v>
      </c>
      <c r="E14" s="87">
        <f>[7]SopäFö!E14</f>
        <v>136</v>
      </c>
      <c r="F14" s="89"/>
      <c r="G14" s="80"/>
      <c r="H14" s="110">
        <f>IFERROR(D14*100/(D14+[7]SopäInt!D13),0)</f>
        <v>69.088811995386394</v>
      </c>
      <c r="I14" s="111">
        <f>IFERROR([7]SopäInt!D13*100/([7]SopäInt!D13+[7]SopäFö!D14),0)</f>
        <v>30.91118800461361</v>
      </c>
      <c r="J14" s="110">
        <f>(D14+[7]SopäInt!D13)*100/$J$4</f>
        <v>0.31280836609041857</v>
      </c>
      <c r="K14" s="118">
        <f t="shared" si="0"/>
        <v>0.21611558395404928</v>
      </c>
    </row>
    <row r="15" spans="1:11" ht="24.75" customHeight="1">
      <c r="A15" s="52"/>
      <c r="B15" s="46" t="s">
        <v>17</v>
      </c>
      <c r="C15" s="46"/>
      <c r="D15" s="8">
        <f>[7]SopäFö!D15</f>
        <v>5223</v>
      </c>
      <c r="E15" s="7">
        <f>[7]SopäFö!E15</f>
        <v>790</v>
      </c>
      <c r="F15" s="89"/>
      <c r="G15" s="80"/>
      <c r="H15" s="109">
        <f>IFERROR(D15*100/(D15+[7]SopäInt!D14),0)</f>
        <v>84.857839155158402</v>
      </c>
      <c r="I15" s="106">
        <f>IFERROR([7]SopäInt!D14*100/([7]SopäInt!D14+[7]SopäFö!D15),0)</f>
        <v>15.142160844841593</v>
      </c>
      <c r="J15" s="109">
        <f>(D15+[7]SopäInt!D14)*100/$J$4</f>
        <v>1.1103434217338675</v>
      </c>
      <c r="K15" s="116">
        <f t="shared" si="0"/>
        <v>0.94221343488480747</v>
      </c>
    </row>
    <row r="16" spans="1:11" ht="24.75" customHeight="1">
      <c r="A16" s="40"/>
      <c r="B16" s="41" t="s">
        <v>18</v>
      </c>
      <c r="C16" s="41"/>
      <c r="D16" s="42">
        <f>[7]SopäFö!D16</f>
        <v>2099</v>
      </c>
      <c r="E16" s="87">
        <f>[7]SopäFö!E16</f>
        <v>146</v>
      </c>
      <c r="F16" s="89"/>
      <c r="G16" s="80"/>
      <c r="H16" s="110">
        <f>IFERROR(D16*100/(D16+[7]SopäInt!D15),0)</f>
        <v>57.146746528723114</v>
      </c>
      <c r="I16" s="111">
        <f>IFERROR([7]SopäInt!D15*100/([7]SopäInt!D15+[7]SopäFö!D16),0)</f>
        <v>42.853253471276886</v>
      </c>
      <c r="J16" s="110">
        <f>(D16+[7]SopäInt!D15)*100/$J$4</f>
        <v>0.6625981134083665</v>
      </c>
      <c r="K16" s="118">
        <f t="shared" si="0"/>
        <v>0.37865326437358049</v>
      </c>
    </row>
    <row r="17" spans="1:11" ht="24.75" customHeight="1">
      <c r="A17" s="45"/>
      <c r="B17" s="46" t="s">
        <v>19</v>
      </c>
      <c r="C17" s="46"/>
      <c r="D17" s="8">
        <f>[7]SopäFö!D17</f>
        <v>0</v>
      </c>
      <c r="E17" s="7">
        <f>[7]SopäFö!E17</f>
        <v>0</v>
      </c>
      <c r="F17" s="89"/>
      <c r="G17" s="80"/>
      <c r="H17" s="109">
        <f>IFERROR(D17*100/(D17+[7]SopäInt!D16),0)</f>
        <v>0</v>
      </c>
      <c r="I17" s="106">
        <f>IFERROR([7]SopäInt!D16*100/([7]SopäInt!D16+[7]SopäFö!D17),0)</f>
        <v>0</v>
      </c>
      <c r="J17" s="109">
        <f>(D17+[7]SopäInt!D16)*100/$J$4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[7]SopäFö!D18</f>
        <v>0</v>
      </c>
      <c r="E18" s="87">
        <f>[7]SopäFö!E18</f>
        <v>0</v>
      </c>
      <c r="F18" s="89"/>
      <c r="G18" s="80"/>
      <c r="H18" s="110">
        <f>IFERROR(D18*100/(D18+[7]SopäInt!D17),0)</f>
        <v>0</v>
      </c>
      <c r="I18" s="111">
        <f>IFERROR([7]SopäInt!D17*100/([7]SopäInt!D17+[7]SopäFö!D18),0)</f>
        <v>0</v>
      </c>
      <c r="J18" s="110">
        <f>(D18+[7]SopäInt!D17)*100/$J$4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[7]SopäFö!D19</f>
        <v>0</v>
      </c>
      <c r="E19" s="7">
        <f>[7]SopäFö!E19</f>
        <v>0</v>
      </c>
      <c r="F19" s="89"/>
      <c r="G19" s="80"/>
      <c r="H19" s="109">
        <f>IFERROR(D19*100/(D19+[7]SopäInt!D18),0)</f>
        <v>0</v>
      </c>
      <c r="I19" s="106">
        <f>IFERROR([7]SopäInt!D18*100/([7]SopäInt!D18+[7]SopäFö!D19),0)</f>
        <v>0</v>
      </c>
      <c r="J19" s="109">
        <f>(D19+[7]SopäInt!D18)*100/$J$4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[7]SopäFö!D20</f>
        <v>1961</v>
      </c>
      <c r="E20" s="96">
        <f>[7]SopäFö!E20</f>
        <v>96</v>
      </c>
      <c r="F20" s="33">
        <f>[7]SKL!E43</f>
        <v>244</v>
      </c>
      <c r="G20" s="78">
        <f>[7]SKL!F43</f>
        <v>195.6225968991908</v>
      </c>
      <c r="H20" s="112">
        <f>IFERROR(D20*100/(D20+[7]SopäInt!D19),0)</f>
        <v>97.756729810568288</v>
      </c>
      <c r="I20" s="113">
        <f>IFERROR([7]SopäInt!D19*100/([7]SopäInt!D19+[7]SopäFö!D20),0)</f>
        <v>2.2432701894317049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K93"/>
  <sheetViews>
    <sheetView zoomScaleNormal="100" workbookViewId="0">
      <selection activeCell="E16" sqref="E16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[8]SKL!C2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29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[8]SopäFö!$J$4</f>
        <v>137454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[8]SKL!D40</f>
        <v>8071</v>
      </c>
      <c r="E8" s="83">
        <f>SUM(E9,E10,E20)</f>
        <v>222</v>
      </c>
      <c r="F8" s="83">
        <f>[8]SKL!E40</f>
        <v>856</v>
      </c>
      <c r="G8" s="84">
        <f>[8]SKL!F40</f>
        <v>1162</v>
      </c>
      <c r="H8" s="103">
        <f>IFERROR(D8*100/(D8+[8]SopäInt!D7),0)</f>
        <v>62.3869521527402</v>
      </c>
      <c r="I8" s="104">
        <f>IFERROR([8]SopäInt!D7*100/([8]SopäInt!D7+[8]SopäFö!D8),0)</f>
        <v>37.6130478472598</v>
      </c>
      <c r="J8" s="103">
        <f>(D8-D20+[8]SopäInt!D7-[8]SopäInt!D19)*100/$J$4</f>
        <v>9.3354867810322002</v>
      </c>
      <c r="K8" s="115">
        <f>(D8-D20)*100/$J$4</f>
        <v>5.7953933679631007</v>
      </c>
    </row>
    <row r="9" spans="1:11" ht="24.75" customHeight="1" thickTop="1">
      <c r="A9" s="142" t="s">
        <v>11</v>
      </c>
      <c r="B9" s="143"/>
      <c r="C9" s="143"/>
      <c r="D9" s="23">
        <f>[8]SKL!D41</f>
        <v>3877</v>
      </c>
      <c r="E9" s="7">
        <f>[8]SopäFö!E9</f>
        <v>97</v>
      </c>
      <c r="F9" s="24">
        <f>[8]SKL!E41</f>
        <v>370</v>
      </c>
      <c r="G9" s="79">
        <f>[8]SKL!F41</f>
        <v>476</v>
      </c>
      <c r="H9" s="105">
        <f>IFERROR(D9*100/(D9+[8]SopäInt!D8),0)</f>
        <v>76.696340257171116</v>
      </c>
      <c r="I9" s="106">
        <f>IFERROR([8]SopäInt!D8*100/([8]SopäInt!D8+[8]SopäFö!D9),0)</f>
        <v>23.303659742828881</v>
      </c>
      <c r="J9" s="105">
        <f>(D9+[8]SopäInt!D8)*100/$J$4</f>
        <v>3.6775939587061854</v>
      </c>
      <c r="K9" s="116">
        <f>D9*100/$J$4</f>
        <v>2.8205799758464649</v>
      </c>
    </row>
    <row r="10" spans="1:11" ht="24.75" customHeight="1">
      <c r="A10" s="144" t="s">
        <v>12</v>
      </c>
      <c r="B10" s="145"/>
      <c r="C10" s="146"/>
      <c r="D10" s="22">
        <f>SUM(D11:D19)</f>
        <v>4089</v>
      </c>
      <c r="E10" s="33">
        <f>SUM(E11:E19)</f>
        <v>125</v>
      </c>
      <c r="F10" s="33">
        <f>[8]SKL!E42</f>
        <v>486</v>
      </c>
      <c r="G10" s="78">
        <f>[8]SKL!F42</f>
        <v>646</v>
      </c>
      <c r="H10" s="107">
        <f>IFERROR(D10*100/(D10+[8]SopäInt!D9),0)</f>
        <v>52.578114954352579</v>
      </c>
      <c r="I10" s="108">
        <f>IFERROR([8]SopäInt!D9*100/([8]SopäInt!D9+[8]SopäFö!D10),0)</f>
        <v>47.421885045647421</v>
      </c>
      <c r="J10" s="107">
        <f>(D10+[8]SopäInt!D9)*100/$J$4</f>
        <v>5.6578928223260148</v>
      </c>
      <c r="K10" s="117">
        <f t="shared" ref="K10:K19" si="0">D10*100/$J$4</f>
        <v>2.9748133921166353</v>
      </c>
    </row>
    <row r="11" spans="1:11" ht="24.75" customHeight="1">
      <c r="A11" s="36"/>
      <c r="B11" s="36" t="s">
        <v>13</v>
      </c>
      <c r="C11" s="85"/>
      <c r="D11" s="8">
        <f>[8]SopäFö!D11</f>
        <v>86</v>
      </c>
      <c r="E11" s="7">
        <f>[8]SopäFö!E11</f>
        <v>4</v>
      </c>
      <c r="F11" s="88"/>
      <c r="G11" s="80"/>
      <c r="H11" s="109">
        <f>IFERROR(D11*100/(D11+[8]SopäInt!D10),0)</f>
        <v>56.209150326797385</v>
      </c>
      <c r="I11" s="106">
        <f>IFERROR([8]SopäInt!D10*100/([8]SopäInt!D10+[8]SopäFö!D11),0)</f>
        <v>43.790849673202615</v>
      </c>
      <c r="J11" s="109">
        <f>(D11+[8]SopäInt!D10)*100/$J$4</f>
        <v>0.11130996551573617</v>
      </c>
      <c r="K11" s="116">
        <f t="shared" si="0"/>
        <v>6.2566385845446479E-2</v>
      </c>
    </row>
    <row r="12" spans="1:11" ht="24.75" customHeight="1">
      <c r="A12" s="40"/>
      <c r="B12" s="41" t="s">
        <v>14</v>
      </c>
      <c r="C12" s="41"/>
      <c r="D12" s="42">
        <f>[8]SopäFö!D12</f>
        <v>210</v>
      </c>
      <c r="E12" s="87">
        <f>[8]SopäFö!E12</f>
        <v>8</v>
      </c>
      <c r="F12" s="89"/>
      <c r="G12" s="80"/>
      <c r="H12" s="110">
        <f>IFERROR(D12*100/(D12+[8]SopäInt!D11),0)</f>
        <v>35.294117647058826</v>
      </c>
      <c r="I12" s="111">
        <f>IFERROR([8]SopäInt!D11*100/([8]SopäInt!D11+[8]SopäFö!D12),0)</f>
        <v>64.705882352941174</v>
      </c>
      <c r="J12" s="110">
        <f>(D12+[8]SopäInt!D11)*100/$J$4</f>
        <v>0.43287208811675176</v>
      </c>
      <c r="K12" s="118">
        <f t="shared" si="0"/>
        <v>0.1527783840412065</v>
      </c>
    </row>
    <row r="13" spans="1:11" ht="24.75" customHeight="1">
      <c r="A13" s="45"/>
      <c r="B13" s="46" t="s">
        <v>15</v>
      </c>
      <c r="C13" s="86"/>
      <c r="D13" s="8">
        <f>[8]SopäFö!D13</f>
        <v>474</v>
      </c>
      <c r="E13" s="7">
        <f>[8]SopäFö!E13</f>
        <v>11</v>
      </c>
      <c r="F13" s="89"/>
      <c r="G13" s="80"/>
      <c r="H13" s="109">
        <f>IFERROR(D13*100/(D13+[8]SopäInt!D12),0)</f>
        <v>55.244755244755247</v>
      </c>
      <c r="I13" s="106">
        <f>IFERROR([8]SopäInt!D12*100/([8]SopäInt!D12+[8]SopäFö!D13),0)</f>
        <v>44.755244755244753</v>
      </c>
      <c r="J13" s="109">
        <f>(D13+[8]SopäInt!D12)*100/$J$4</f>
        <v>0.62420882622550089</v>
      </c>
      <c r="K13" s="116">
        <f t="shared" si="0"/>
        <v>0.34484263826443756</v>
      </c>
    </row>
    <row r="14" spans="1:11" ht="24.75" customHeight="1">
      <c r="A14" s="50"/>
      <c r="B14" s="41" t="s">
        <v>16</v>
      </c>
      <c r="C14" s="51"/>
      <c r="D14" s="42">
        <f>[8]SopäFö!D14</f>
        <v>509</v>
      </c>
      <c r="E14" s="87">
        <f>[8]SopäFö!E14</f>
        <v>20</v>
      </c>
      <c r="F14" s="89"/>
      <c r="G14" s="80"/>
      <c r="H14" s="110">
        <f>IFERROR(D14*100/(D14+[8]SopäInt!D13),0)</f>
        <v>70.110192837465561</v>
      </c>
      <c r="I14" s="111">
        <f>IFERROR([8]SopäInt!D13*100/([8]SopäInt!D13+[8]SopäFö!D14),0)</f>
        <v>29.889807162534435</v>
      </c>
      <c r="J14" s="110">
        <f>(D14+[8]SopäInt!D13)*100/$J$4</f>
        <v>0.52817669911388532</v>
      </c>
      <c r="K14" s="118">
        <f t="shared" si="0"/>
        <v>0.37030570227130533</v>
      </c>
    </row>
    <row r="15" spans="1:11" ht="24.75" customHeight="1">
      <c r="A15" s="52"/>
      <c r="B15" s="46" t="s">
        <v>17</v>
      </c>
      <c r="C15" s="46"/>
      <c r="D15" s="8">
        <f>[8]SopäFö!D15</f>
        <v>2299</v>
      </c>
      <c r="E15" s="7">
        <f>[8]SopäFö!E15</f>
        <v>77</v>
      </c>
      <c r="F15" s="89"/>
      <c r="G15" s="80"/>
      <c r="H15" s="109">
        <f>IFERROR(D15*100/(D15+[8]SopäInt!D14),0)</f>
        <v>97.622080679405514</v>
      </c>
      <c r="I15" s="106">
        <f>IFERROR([8]SopäInt!D14*100/([8]SopäInt!D14+[8]SopäFö!D15),0)</f>
        <v>2.3779193205944797</v>
      </c>
      <c r="J15" s="109">
        <f>(D15+[8]SopäInt!D14)*100/$J$4</f>
        <v>1.7133004496049586</v>
      </c>
      <c r="K15" s="116">
        <f t="shared" si="0"/>
        <v>1.6725595471939703</v>
      </c>
    </row>
    <row r="16" spans="1:11" ht="24.75" customHeight="1">
      <c r="A16" s="40"/>
      <c r="B16" s="41" t="s">
        <v>18</v>
      </c>
      <c r="C16" s="41"/>
      <c r="D16" s="42">
        <f>[8]SopäFö!D16</f>
        <v>511</v>
      </c>
      <c r="E16" s="87">
        <f>[8]SopäFö!E16</f>
        <v>5</v>
      </c>
      <c r="F16" s="89"/>
      <c r="G16" s="80"/>
      <c r="H16" s="110">
        <f>IFERROR(D16*100/(D16+[8]SopäInt!D15),0)</f>
        <v>16.537216828478964</v>
      </c>
      <c r="I16" s="111">
        <f>IFERROR([8]SopäInt!D15*100/([8]SopäInt!D15+[8]SopäFö!D16),0)</f>
        <v>83.462783171521039</v>
      </c>
      <c r="J16" s="110">
        <f>(D16+[8]SopäInt!D15)*100/$J$4</f>
        <v>2.2480247937491815</v>
      </c>
      <c r="K16" s="118">
        <f t="shared" si="0"/>
        <v>0.3717607345002692</v>
      </c>
    </row>
    <row r="17" spans="1:11" ht="24.75" customHeight="1">
      <c r="A17" s="45"/>
      <c r="B17" s="46" t="s">
        <v>19</v>
      </c>
      <c r="C17" s="46"/>
      <c r="D17" s="8">
        <f>[8]SopäFö!D17</f>
        <v>0</v>
      </c>
      <c r="E17" s="7">
        <f>[8]SopäFö!E17</f>
        <v>0</v>
      </c>
      <c r="F17" s="89"/>
      <c r="G17" s="80"/>
      <c r="H17" s="109">
        <f>IFERROR(D17*100/(D17+[8]SopäInt!D16),0)</f>
        <v>0</v>
      </c>
      <c r="I17" s="106">
        <f>IFERROR([8]SopäInt!D16*100/([8]SopäInt!D16+[8]SopäFö!D17),0)</f>
        <v>0</v>
      </c>
      <c r="J17" s="109">
        <f>(D17+[8]SopäInt!D16)*100/$J$4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[8]SopäFö!D18</f>
        <v>0</v>
      </c>
      <c r="E18" s="87">
        <f>[8]SopäFö!E18</f>
        <v>0</v>
      </c>
      <c r="F18" s="89"/>
      <c r="G18" s="80"/>
      <c r="H18" s="110">
        <f>IFERROR(D18*100/(D18+[8]SopäInt!D17),0)</f>
        <v>0</v>
      </c>
      <c r="I18" s="111">
        <f>IFERROR([8]SopäInt!D17*100/([8]SopäInt!D17+[8]SopäFö!D18),0)</f>
        <v>0</v>
      </c>
      <c r="J18" s="110">
        <f>(D18+[8]SopäInt!D17)*100/$J$4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[8]SopäFö!D19</f>
        <v>0</v>
      </c>
      <c r="E19" s="7">
        <f>[8]SopäFö!E19</f>
        <v>0</v>
      </c>
      <c r="F19" s="89"/>
      <c r="G19" s="80"/>
      <c r="H19" s="109">
        <f>IFERROR(D19*100/(D19+[8]SopäInt!D18),0)</f>
        <v>0</v>
      </c>
      <c r="I19" s="106">
        <f>IFERROR([8]SopäInt!D18*100/([8]SopäInt!D18+[8]SopäFö!D19),0)</f>
        <v>0</v>
      </c>
      <c r="J19" s="109">
        <f>(D19+[8]SopäInt!D18)*100/$J$4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[8]SopäFö!D20</f>
        <v>105</v>
      </c>
      <c r="E20" s="96">
        <f>[8]SopäFö!E20</f>
        <v>0</v>
      </c>
      <c r="F20" s="33">
        <f>[8]SKL!E43</f>
        <v>0</v>
      </c>
      <c r="G20" s="78">
        <f>[8]SKL!F43</f>
        <v>40</v>
      </c>
      <c r="H20" s="112">
        <f>IFERROR(D20*100/(D20+[8]SopäInt!D19),0)</f>
        <v>100</v>
      </c>
      <c r="I20" s="113">
        <f>IFERROR([8]SopäInt!D19*100/([8]SopäInt!D19+[8]SopäFö!D20),0)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1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[9]SKL!C2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30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[9]SopäFö!$J$4</f>
        <v>764689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[9]SKL!D40</f>
        <v>24333</v>
      </c>
      <c r="E8" s="83">
        <f>SUM(E9,E10,E20)</f>
        <v>2111</v>
      </c>
      <c r="F8" s="83">
        <f>[9]SKL!E40</f>
        <v>2937</v>
      </c>
      <c r="G8" s="84">
        <f>[9]SKL!F40</f>
        <v>4554</v>
      </c>
      <c r="H8" s="103">
        <f>IFERROR(D8*100/(D8+[9]SopäInt!D7),0)</f>
        <v>45.587904676258994</v>
      </c>
      <c r="I8" s="104">
        <f>IFERROR([9]SopäInt!D7*100/([9]SopäInt!D7+[9]SopäFö!D8),0)</f>
        <v>54.412095323741006</v>
      </c>
      <c r="J8" s="103">
        <f>(D8-D20+[9]SopäInt!D7-[9]SopäInt!D19)*100/$J$4</f>
        <v>6.9800925605049899</v>
      </c>
      <c r="K8" s="115">
        <f>(D8-D20)*100/$J$4</f>
        <v>3.1820779427976604</v>
      </c>
    </row>
    <row r="9" spans="1:11" ht="24.75" customHeight="1" thickTop="1">
      <c r="A9" s="142" t="s">
        <v>11</v>
      </c>
      <c r="B9" s="143"/>
      <c r="C9" s="143"/>
      <c r="D9" s="23">
        <f>[9]SKL!D41</f>
        <v>6050</v>
      </c>
      <c r="E9" s="7">
        <f>[9]SopäFö!E9</f>
        <v>551</v>
      </c>
      <c r="F9" s="24">
        <f>[9]SKL!E41</f>
        <v>606</v>
      </c>
      <c r="G9" s="79">
        <f>[9]SKL!F41</f>
        <v>990</v>
      </c>
      <c r="H9" s="105">
        <f>IFERROR(D9*100/(D9+[9]SopäInt!D8),0)</f>
        <v>29.461894326759193</v>
      </c>
      <c r="I9" s="106">
        <f>IFERROR([9]SopäInt!D8*100/([9]SopäInt!D8+[9]SopäFö!D9),0)</f>
        <v>70.538105673240807</v>
      </c>
      <c r="J9" s="105">
        <f>(D9+[9]SopäInt!D8)*100/$J$4</f>
        <v>2.6854054393354683</v>
      </c>
      <c r="K9" s="116">
        <f>D9*100/$J$4</f>
        <v>0.7911713127820591</v>
      </c>
    </row>
    <row r="10" spans="1:11" ht="24.75" customHeight="1">
      <c r="A10" s="144" t="s">
        <v>12</v>
      </c>
      <c r="B10" s="145"/>
      <c r="C10" s="146"/>
      <c r="D10" s="22">
        <f>SUM(D11:D19)</f>
        <v>18283</v>
      </c>
      <c r="E10" s="33">
        <f>SUM(E11:E19)</f>
        <v>1560</v>
      </c>
      <c r="F10" s="33">
        <f>[9]SKL!E42</f>
        <v>2331</v>
      </c>
      <c r="G10" s="78">
        <f>[9]SKL!F42</f>
        <v>3564</v>
      </c>
      <c r="H10" s="107">
        <f>IFERROR(D10*100/(D10+[9]SopäInt!D9),0)</f>
        <v>55.67126457781432</v>
      </c>
      <c r="I10" s="108">
        <f>IFERROR([9]SopäInt!D9*100/([9]SopäInt!D9+[9]SopäFö!D10),0)</f>
        <v>44.32873542218568</v>
      </c>
      <c r="J10" s="107">
        <f>(D10+[9]SopäInt!D9)*100/$J$4</f>
        <v>4.2946871211695212</v>
      </c>
      <c r="K10" s="117">
        <f t="shared" ref="K10:K19" si="0">D10*100/$J$4</f>
        <v>2.3909066300156012</v>
      </c>
    </row>
    <row r="11" spans="1:11" ht="24.75" customHeight="1">
      <c r="A11" s="36"/>
      <c r="B11" s="36" t="s">
        <v>13</v>
      </c>
      <c r="C11" s="85"/>
      <c r="D11" s="8">
        <f>[9]SopäFö!D11</f>
        <v>241</v>
      </c>
      <c r="E11" s="7">
        <f>[9]SopäFö!E11</f>
        <v>54</v>
      </c>
      <c r="F11" s="88"/>
      <c r="G11" s="80"/>
      <c r="H11" s="109">
        <f>IFERROR(D11*100/(D11+[9]SopäInt!D10),0)</f>
        <v>33.753501400560225</v>
      </c>
      <c r="I11" s="106">
        <f>IFERROR([9]SopäInt!D10*100/([9]SopäInt!D10+[9]SopäFö!D11),0)</f>
        <v>66.246498599439775</v>
      </c>
      <c r="J11" s="109">
        <f>(D11+[9]SopäInt!D10)*100/$J$4</f>
        <v>9.3371292120064495E-2</v>
      </c>
      <c r="K11" s="116">
        <f t="shared" si="0"/>
        <v>3.151608039346715E-2</v>
      </c>
    </row>
    <row r="12" spans="1:11" ht="24.75" customHeight="1">
      <c r="A12" s="40"/>
      <c r="B12" s="41" t="s">
        <v>14</v>
      </c>
      <c r="C12" s="41"/>
      <c r="D12" s="42">
        <f>[9]SopäFö!D12</f>
        <v>823</v>
      </c>
      <c r="E12" s="87">
        <f>[9]SopäFö!E12</f>
        <v>106</v>
      </c>
      <c r="F12" s="89"/>
      <c r="G12" s="80"/>
      <c r="H12" s="110">
        <f>IFERROR(D12*100/(D12+[9]SopäInt!D11),0)</f>
        <v>36.642920747996435</v>
      </c>
      <c r="I12" s="111">
        <f>IFERROR([9]SopäInt!D11*100/([9]SopäInt!D11+[9]SopäFö!D12),0)</f>
        <v>63.357079252003565</v>
      </c>
      <c r="J12" s="110">
        <f>(D12+[9]SopäInt!D11)*100/$J$4</f>
        <v>0.293714176612976</v>
      </c>
      <c r="K12" s="118">
        <f t="shared" si="0"/>
        <v>0.10762545296192308</v>
      </c>
    </row>
    <row r="13" spans="1:11" ht="24.75" customHeight="1">
      <c r="A13" s="45"/>
      <c r="B13" s="46" t="s">
        <v>15</v>
      </c>
      <c r="C13" s="86"/>
      <c r="D13" s="8">
        <f>[9]SopäFö!D13</f>
        <v>3330</v>
      </c>
      <c r="E13" s="7">
        <f>[9]SopäFö!E13</f>
        <v>260</v>
      </c>
      <c r="F13" s="89"/>
      <c r="G13" s="80"/>
      <c r="H13" s="109">
        <f>IFERROR(D13*100/(D13+[9]SopäInt!D12),0)</f>
        <v>50.218669883878754</v>
      </c>
      <c r="I13" s="106">
        <f>IFERROR([9]SopäInt!D12*100/([9]SopäInt!D12+[9]SopäFö!D13),0)</f>
        <v>49.781330116121246</v>
      </c>
      <c r="J13" s="109">
        <f>(D13+[9]SopäInt!D12)*100/$J$4</f>
        <v>0.86714991323269985</v>
      </c>
      <c r="K13" s="116">
        <f t="shared" si="0"/>
        <v>0.43547115232467054</v>
      </c>
    </row>
    <row r="14" spans="1:11" ht="24.75" customHeight="1">
      <c r="A14" s="50"/>
      <c r="B14" s="41" t="s">
        <v>16</v>
      </c>
      <c r="C14" s="51"/>
      <c r="D14" s="42">
        <f>[9]SopäFö!D14</f>
        <v>2074</v>
      </c>
      <c r="E14" s="87">
        <f>[9]SopäFö!E14</f>
        <v>124</v>
      </c>
      <c r="F14" s="89"/>
      <c r="G14" s="80"/>
      <c r="H14" s="110">
        <f>IFERROR(D14*100/(D14+[9]SopäInt!D13),0)</f>
        <v>55.722729715206881</v>
      </c>
      <c r="I14" s="111">
        <f>IFERROR([9]SopäInt!D13*100/([9]SopäInt!D13+[9]SopäFö!D14),0)</f>
        <v>44.277270284793119</v>
      </c>
      <c r="J14" s="110">
        <f>(D14+[9]SopäInt!D13)*100/$J$4</f>
        <v>0.48673382250823538</v>
      </c>
      <c r="K14" s="118">
        <f t="shared" si="0"/>
        <v>0.27122137234875876</v>
      </c>
    </row>
    <row r="15" spans="1:11" ht="24.75" customHeight="1">
      <c r="A15" s="52"/>
      <c r="B15" s="46" t="s">
        <v>17</v>
      </c>
      <c r="C15" s="46"/>
      <c r="D15" s="8">
        <f>[9]SopäFö!D15</f>
        <v>7962</v>
      </c>
      <c r="E15" s="7">
        <f>[9]SopäFö!E15</f>
        <v>863</v>
      </c>
      <c r="F15" s="89"/>
      <c r="G15" s="80"/>
      <c r="H15" s="109">
        <f>IFERROR(D15*100/(D15+[9]SopäInt!D14),0)</f>
        <v>79.302788844621517</v>
      </c>
      <c r="I15" s="106">
        <f>IFERROR([9]SopäInt!D14*100/([9]SopäInt!D14+[9]SopäFö!D15),0)</f>
        <v>20.697211155378486</v>
      </c>
      <c r="J15" s="109">
        <f>(D15+[9]SopäInt!D14)*100/$J$4</f>
        <v>1.3129520628647724</v>
      </c>
      <c r="K15" s="116">
        <f t="shared" si="0"/>
        <v>1.0412076020447529</v>
      </c>
    </row>
    <row r="16" spans="1:11" ht="24.75" customHeight="1">
      <c r="A16" s="40"/>
      <c r="B16" s="41" t="s">
        <v>18</v>
      </c>
      <c r="C16" s="41"/>
      <c r="D16" s="42">
        <f>[9]SopäFö!D16</f>
        <v>3853</v>
      </c>
      <c r="E16" s="87">
        <f>[9]SopäFö!E16</f>
        <v>153</v>
      </c>
      <c r="F16" s="89"/>
      <c r="G16" s="80"/>
      <c r="H16" s="110">
        <f>IFERROR(D16*100/(D16+[9]SopäInt!D15),0)</f>
        <v>40.609190556492415</v>
      </c>
      <c r="I16" s="111">
        <f>IFERROR([9]SopäInt!D15*100/([9]SopäInt!D15+[9]SopäFö!D16),0)</f>
        <v>59.390809443507585</v>
      </c>
      <c r="J16" s="110">
        <f>(D16+[9]SopäInt!D15)*100/$J$4</f>
        <v>1.2407658538307731</v>
      </c>
      <c r="K16" s="118">
        <f t="shared" si="0"/>
        <v>0.50386496994202867</v>
      </c>
    </row>
    <row r="17" spans="1:11" ht="24.75" customHeight="1">
      <c r="A17" s="45"/>
      <c r="B17" s="46" t="s">
        <v>19</v>
      </c>
      <c r="C17" s="46"/>
      <c r="D17" s="8">
        <f>[9]SopäFö!D17</f>
        <v>0</v>
      </c>
      <c r="E17" s="7">
        <f>[9]SopäFö!E17</f>
        <v>0</v>
      </c>
      <c r="F17" s="89"/>
      <c r="G17" s="80"/>
      <c r="H17" s="109">
        <f>IFERROR(D17*100/(D17+[9]SopäInt!D16),0)</f>
        <v>0</v>
      </c>
      <c r="I17" s="106">
        <f>IFERROR([9]SopäInt!D16*100/([9]SopäInt!D16+[9]SopäFö!D17),0)</f>
        <v>0</v>
      </c>
      <c r="J17" s="109">
        <f>(D17+[9]SopäInt!D16)*100/$J$4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[9]SopäFö!D18</f>
        <v>0</v>
      </c>
      <c r="E18" s="87">
        <f>[9]SopäFö!E18</f>
        <v>0</v>
      </c>
      <c r="F18" s="89"/>
      <c r="G18" s="80"/>
      <c r="H18" s="110">
        <f>IFERROR(D18*100/(D18+[9]SopäInt!D17),0)</f>
        <v>0</v>
      </c>
      <c r="I18" s="111">
        <f>IFERROR([9]SopäInt!D17*100/([9]SopäInt!D17+[9]SopäFö!D18),0)</f>
        <v>0</v>
      </c>
      <c r="J18" s="110">
        <f>(D18+[9]SopäInt!D17)*100/$J$4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[9]SopäFö!D19</f>
        <v>0</v>
      </c>
      <c r="E19" s="7">
        <f>[9]SopäFö!E19</f>
        <v>0</v>
      </c>
      <c r="F19" s="89"/>
      <c r="G19" s="80"/>
      <c r="H19" s="109">
        <f>IFERROR(D19*100/(D19+[9]SopäInt!D18),0)</f>
        <v>0</v>
      </c>
      <c r="I19" s="106">
        <f>IFERROR([9]SopäInt!D18*100/([9]SopäInt!D18+[9]SopäFö!D19),0)</f>
        <v>0</v>
      </c>
      <c r="J19" s="109">
        <f>(D19+[9]SopäInt!D18)*100/$J$4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[9]SopäFö!D20</f>
        <v>0</v>
      </c>
      <c r="E20" s="96">
        <f>[9]SopäFö!E20</f>
        <v>0</v>
      </c>
      <c r="F20" s="33">
        <f>[9]SKL!E43</f>
        <v>0</v>
      </c>
      <c r="G20" s="78">
        <f>[9]SKL!F43</f>
        <v>0</v>
      </c>
      <c r="H20" s="112">
        <f>IFERROR(D20*100/(D20+[9]SopäInt!D19),0)</f>
        <v>0</v>
      </c>
      <c r="I20" s="113">
        <f>IFERROR([9]SopäInt!D19*100/([9]SopäInt!D19+[9]SopäFö!D20),0)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2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[10]SKL!C2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31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[10]SopäFö!$J$4</f>
        <v>1660792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[10]SKL!D40</f>
        <v>77166</v>
      </c>
      <c r="E8" s="83">
        <f>SUM(E9,E10,E20)</f>
        <v>9414</v>
      </c>
      <c r="F8" s="83">
        <f>[10]SKL!E40</f>
        <v>6978</v>
      </c>
      <c r="G8" s="84">
        <f>[10]SKL!F40</f>
        <v>14097</v>
      </c>
      <c r="H8" s="103">
        <f>IFERROR(D8*100/(D8+[10]SopäInt!D7),0)</f>
        <v>57.842541995547457</v>
      </c>
      <c r="I8" s="104">
        <f>IFERROR([10]SopäInt!D7*100/([10]SopäInt!D7+[10]SopäFö!D8),0)</f>
        <v>42.157458004452543</v>
      </c>
      <c r="J8" s="103">
        <f>(D8-D20+[10]SopäInt!D7-[10]SopäInt!D19)*100/$J$4</f>
        <v>7.8812397940259826</v>
      </c>
      <c r="K8" s="115">
        <f>(D8-D20)*100/$J$4</f>
        <v>4.4948434241012718</v>
      </c>
    </row>
    <row r="9" spans="1:11" ht="24.75" customHeight="1" thickTop="1">
      <c r="A9" s="142" t="s">
        <v>11</v>
      </c>
      <c r="B9" s="143"/>
      <c r="C9" s="143"/>
      <c r="D9" s="23">
        <f>[10]SKL!D41</f>
        <v>16650</v>
      </c>
      <c r="E9" s="7">
        <f>[10]SopäFö!E9</f>
        <v>2586</v>
      </c>
      <c r="F9" s="24">
        <f>[10]SKL!E41</f>
        <v>1742</v>
      </c>
      <c r="G9" s="79">
        <f>[10]SKL!F41</f>
        <v>3010</v>
      </c>
      <c r="H9" s="105">
        <f>IFERROR(D9*100/(D9+[10]SopäInt!D8),0)</f>
        <v>42.042269525035984</v>
      </c>
      <c r="I9" s="106">
        <f>IFERROR([10]SopäInt!D8*100/([10]SopäInt!D8+[10]SopäFö!D9),0)</f>
        <v>57.957730474964016</v>
      </c>
      <c r="J9" s="105">
        <f>(D9+[10]SopäInt!D8)*100/$J$4</f>
        <v>2.3845851858631302</v>
      </c>
      <c r="K9" s="116">
        <f>D9*100/$J$4</f>
        <v>1.0025337308946576</v>
      </c>
    </row>
    <row r="10" spans="1:11" ht="24.75" customHeight="1">
      <c r="A10" s="144" t="s">
        <v>12</v>
      </c>
      <c r="B10" s="145"/>
      <c r="C10" s="146"/>
      <c r="D10" s="22">
        <f>SUM(D11:D19)</f>
        <v>58000</v>
      </c>
      <c r="E10" s="33">
        <f>SUM(E11:E19)</f>
        <v>6711</v>
      </c>
      <c r="F10" s="33">
        <f>[10]SKL!E42</f>
        <v>4808</v>
      </c>
      <c r="G10" s="78">
        <f>[10]SKL!F42</f>
        <v>10613</v>
      </c>
      <c r="H10" s="107">
        <f>IFERROR(D10*100/(D10+[10]SopäInt!D9),0)</f>
        <v>63.535185347471739</v>
      </c>
      <c r="I10" s="108">
        <f>IFERROR([10]SopäInt!D9*100/([10]SopäInt!D9+[10]SopäFö!D10),0)</f>
        <v>36.464814652528261</v>
      </c>
      <c r="J10" s="107">
        <f>(D10+[10]SopäInt!D9)*100/$J$4</f>
        <v>5.496654608162852</v>
      </c>
      <c r="K10" s="117">
        <f t="shared" ref="K10:K19" si="0">D10*100/$J$4</f>
        <v>3.4923096932066149</v>
      </c>
    </row>
    <row r="11" spans="1:11" ht="24.75" customHeight="1">
      <c r="A11" s="36"/>
      <c r="B11" s="36" t="s">
        <v>13</v>
      </c>
      <c r="C11" s="85"/>
      <c r="D11" s="8">
        <f>[10]SopäFö!D11</f>
        <v>1421</v>
      </c>
      <c r="E11" s="7">
        <f>[10]SopäFö!E11</f>
        <v>233</v>
      </c>
      <c r="F11" s="88"/>
      <c r="G11" s="80"/>
      <c r="H11" s="109">
        <f>IFERROR(D11*100/(D11+[10]SopäInt!D10),0)</f>
        <v>46.820428336079075</v>
      </c>
      <c r="I11" s="106">
        <f>IFERROR([10]SopäInt!D10*100/([10]SopäInt!D10+[10]SopäFö!D11),0)</f>
        <v>53.179571663920925</v>
      </c>
      <c r="J11" s="109">
        <f>(D11+[10]SopäInt!D10)*100/$J$4</f>
        <v>0.18274413653244959</v>
      </c>
      <c r="K11" s="116">
        <f t="shared" si="0"/>
        <v>8.556158748356206E-2</v>
      </c>
    </row>
    <row r="12" spans="1:11" ht="24.75" customHeight="1">
      <c r="A12" s="40"/>
      <c r="B12" s="41" t="s">
        <v>14</v>
      </c>
      <c r="C12" s="41"/>
      <c r="D12" s="42">
        <f>[10]SopäFö!D12</f>
        <v>2674</v>
      </c>
      <c r="E12" s="87">
        <f>[10]SopäFö!E12</f>
        <v>438</v>
      </c>
      <c r="F12" s="89"/>
      <c r="G12" s="80"/>
      <c r="H12" s="110">
        <f>IFERROR(D12*100/(D12+[10]SopäInt!D11),0)</f>
        <v>49.046221570066031</v>
      </c>
      <c r="I12" s="111">
        <f>IFERROR([10]SopäInt!D11*100/([10]SopäInt!D11+[10]SopäFö!D12),0)</f>
        <v>50.953778429933969</v>
      </c>
      <c r="J12" s="110">
        <f>(D12+[10]SopäInt!D11)*100/$J$4</f>
        <v>0.32827711116142178</v>
      </c>
      <c r="K12" s="118">
        <f t="shared" si="0"/>
        <v>0.16100751930404289</v>
      </c>
    </row>
    <row r="13" spans="1:11" ht="24.75" customHeight="1">
      <c r="A13" s="45"/>
      <c r="B13" s="46" t="s">
        <v>15</v>
      </c>
      <c r="C13" s="86"/>
      <c r="D13" s="8">
        <f>[10]SopäFö!D13</f>
        <v>10921</v>
      </c>
      <c r="E13" s="7">
        <f>[10]SopäFö!E13</f>
        <v>860</v>
      </c>
      <c r="F13" s="89"/>
      <c r="G13" s="80"/>
      <c r="H13" s="109">
        <f>IFERROR(D13*100/(D13+[10]SopäInt!D12),0)</f>
        <v>55.220710926834201</v>
      </c>
      <c r="I13" s="106">
        <f>IFERROR([10]SopäInt!D12*100/([10]SopäInt!D12+[10]SopäFö!D13),0)</f>
        <v>44.779289073165799</v>
      </c>
      <c r="J13" s="109">
        <f>(D13+[10]SopäInt!D12)*100/$J$4</f>
        <v>1.1908173931473658</v>
      </c>
      <c r="K13" s="116">
        <f t="shared" si="0"/>
        <v>0.65757783033636963</v>
      </c>
    </row>
    <row r="14" spans="1:11" ht="24.75" customHeight="1">
      <c r="A14" s="50"/>
      <c r="B14" s="41" t="s">
        <v>16</v>
      </c>
      <c r="C14" s="51"/>
      <c r="D14" s="42">
        <f>[10]SopäFö!D14</f>
        <v>7190</v>
      </c>
      <c r="E14" s="87">
        <f>[10]SopäFö!E14</f>
        <v>838</v>
      </c>
      <c r="F14" s="89"/>
      <c r="G14" s="80"/>
      <c r="H14" s="110">
        <f>IFERROR(D14*100/(D14+[10]SopäInt!D13),0)</f>
        <v>71.449865845175395</v>
      </c>
      <c r="I14" s="111">
        <f>IFERROR([10]SopäInt!D13*100/([10]SopäInt!D13+[10]SopäFö!D14),0)</f>
        <v>28.550134154824605</v>
      </c>
      <c r="J14" s="110">
        <f>(D14+[10]SopäInt!D13)*100/$J$4</f>
        <v>0.60591573177134761</v>
      </c>
      <c r="K14" s="118">
        <f t="shared" si="0"/>
        <v>0.43292597748544071</v>
      </c>
    </row>
    <row r="15" spans="1:11" ht="24.75" customHeight="1">
      <c r="A15" s="52"/>
      <c r="B15" s="46" t="s">
        <v>17</v>
      </c>
      <c r="C15" s="46"/>
      <c r="D15" s="8">
        <f>[10]SopäFö!D15</f>
        <v>19425</v>
      </c>
      <c r="E15" s="7">
        <f>[10]SopäFö!E15</f>
        <v>3126</v>
      </c>
      <c r="F15" s="89"/>
      <c r="G15" s="80"/>
      <c r="H15" s="109">
        <f>IFERROR(D15*100/(D15+[10]SopäInt!D14),0)</f>
        <v>88.047321185749254</v>
      </c>
      <c r="I15" s="106">
        <f>IFERROR([10]SopäInt!D14*100/([10]SopäInt!D14+[10]SopäFö!D15),0)</f>
        <v>11.952678814250747</v>
      </c>
      <c r="J15" s="109">
        <f>(D15+[10]SopäInt!D14)*100/$J$4</f>
        <v>1.3284023526124884</v>
      </c>
      <c r="K15" s="116">
        <f t="shared" si="0"/>
        <v>1.1696226860437671</v>
      </c>
    </row>
    <row r="16" spans="1:11" ht="24.75" customHeight="1">
      <c r="A16" s="40"/>
      <c r="B16" s="41" t="s">
        <v>18</v>
      </c>
      <c r="C16" s="41"/>
      <c r="D16" s="42">
        <f>[10]SopäFö!D16</f>
        <v>16320</v>
      </c>
      <c r="E16" s="87">
        <f>[10]SopäFö!E16</f>
        <v>1215</v>
      </c>
      <c r="F16" s="89"/>
      <c r="G16" s="80"/>
      <c r="H16" s="110">
        <f>IFERROR(D16*100/(D16+[10]SopäInt!D15),0)</f>
        <v>52.901134521880067</v>
      </c>
      <c r="I16" s="111">
        <f>IFERROR([10]SopäInt!D15*100/([10]SopäInt!D15+[10]SopäFö!D16),0)</f>
        <v>47.098865478119933</v>
      </c>
      <c r="J16" s="110">
        <f>(D16+[10]SopäInt!D15)*100/$J$4</f>
        <v>1.8575474833693804</v>
      </c>
      <c r="K16" s="118">
        <f t="shared" si="0"/>
        <v>0.98266369298503364</v>
      </c>
    </row>
    <row r="17" spans="1:11" ht="24.75" customHeight="1">
      <c r="A17" s="45"/>
      <c r="B17" s="46" t="s">
        <v>19</v>
      </c>
      <c r="C17" s="46"/>
      <c r="D17" s="8">
        <f>[10]SopäFö!D17</f>
        <v>0</v>
      </c>
      <c r="E17" s="7">
        <f>[10]SopäFö!E17</f>
        <v>0</v>
      </c>
      <c r="F17" s="89"/>
      <c r="G17" s="80"/>
      <c r="H17" s="109">
        <f>IFERROR(D17*100/(D17+[10]SopäInt!D16),0)</f>
        <v>0</v>
      </c>
      <c r="I17" s="106">
        <f>IFERROR([10]SopäInt!D16*100/([10]SopäInt!D16+[10]SopäFö!D17),0)</f>
        <v>0</v>
      </c>
      <c r="J17" s="109">
        <f>(D17+[10]SopäInt!D16)*100/$J$4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[10]SopäFö!D18</f>
        <v>0</v>
      </c>
      <c r="E18" s="87">
        <f>[10]SopäFö!E18</f>
        <v>0</v>
      </c>
      <c r="F18" s="89"/>
      <c r="G18" s="80"/>
      <c r="H18" s="110">
        <f>IFERROR(D18*100/(D18+[10]SopäInt!D17),0)</f>
        <v>0</v>
      </c>
      <c r="I18" s="111">
        <f>IFERROR([10]SopäInt!D17*100/([10]SopäInt!D17+[10]SopäFö!D18),0)</f>
        <v>0</v>
      </c>
      <c r="J18" s="110">
        <f>(D18+[10]SopäInt!D17)*100/$J$4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[10]SopäFö!D19</f>
        <v>49</v>
      </c>
      <c r="E19" s="7">
        <f>[10]SopäFö!E19</f>
        <v>1</v>
      </c>
      <c r="F19" s="89"/>
      <c r="G19" s="80"/>
      <c r="H19" s="109">
        <f>IFERROR(D19*100/(D19+[10]SopäInt!D18),0)</f>
        <v>100</v>
      </c>
      <c r="I19" s="106">
        <f>IFERROR([10]SopäInt!D18*100/([10]SopäInt!D18+[10]SopäFö!D19),0)</f>
        <v>0</v>
      </c>
      <c r="J19" s="109">
        <f>(D19+[10]SopäInt!D18)*100/$J$4</f>
        <v>2.9503995683986916E-3</v>
      </c>
      <c r="K19" s="116">
        <f t="shared" si="0"/>
        <v>2.9503995683986916E-3</v>
      </c>
    </row>
    <row r="20" spans="1:11" ht="24.75" customHeight="1">
      <c r="A20" s="98" t="s">
        <v>82</v>
      </c>
      <c r="B20" s="94"/>
      <c r="C20" s="94"/>
      <c r="D20" s="95">
        <f>[10]SopäFö!D20</f>
        <v>2516</v>
      </c>
      <c r="E20" s="96">
        <f>[10]SopäFö!E20</f>
        <v>117</v>
      </c>
      <c r="F20" s="33">
        <f>[10]SKL!E43</f>
        <v>428</v>
      </c>
      <c r="G20" s="78">
        <f>[10]SKL!F43</f>
        <v>474</v>
      </c>
      <c r="H20" s="112">
        <f>IFERROR(D20*100/(D20+[10]SopäInt!D19),0)</f>
        <v>100</v>
      </c>
      <c r="I20" s="113">
        <f>IFERROR([10]SopäInt!D19*100/([10]SopäInt!D19+[10]SopäFö!D20),0)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3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[11]SKL!C2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32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[11]SopäFö!$J$4</f>
        <v>360239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[11]SKL!D40</f>
        <v>14660</v>
      </c>
      <c r="E8" s="83">
        <f>SUM(E9,E10,E20)</f>
        <v>1283</v>
      </c>
      <c r="F8" s="83">
        <f>[11]SKL!E40</f>
        <v>1515</v>
      </c>
      <c r="G8" s="84">
        <f>[11]SKL!F40</f>
        <v>2457</v>
      </c>
      <c r="H8" s="103">
        <f>IFERROR(D8*100/(D8+[11]SopäInt!D7),0)</f>
        <v>66.980399323799517</v>
      </c>
      <c r="I8" s="104">
        <f>IFERROR([11]SopäInt!D7*100/([11]SopäInt!D7+[11]SopäFö!D8),0)</f>
        <v>33.019600676200483</v>
      </c>
      <c r="J8" s="103">
        <f>(D8-D20+[11]SopäInt!D7-[11]SopäInt!D19)*100/$J$4</f>
        <v>6.0756886400417498</v>
      </c>
      <c r="K8" s="115">
        <f>(D8-D20)*100/$J$4</f>
        <v>4.0695205127706879</v>
      </c>
    </row>
    <row r="9" spans="1:11" ht="24.75" customHeight="1" thickTop="1">
      <c r="A9" s="142" t="s">
        <v>11</v>
      </c>
      <c r="B9" s="143"/>
      <c r="C9" s="143"/>
      <c r="D9" s="23">
        <f>[11]SKL!D41</f>
        <v>7378</v>
      </c>
      <c r="E9" s="7">
        <f>[11]SopäFö!E9</f>
        <v>718</v>
      </c>
      <c r="F9" s="24">
        <f>[11]SKL!E41</f>
        <v>670</v>
      </c>
      <c r="G9" s="79">
        <f>[11]SKL!F41</f>
        <v>1079</v>
      </c>
      <c r="H9" s="105">
        <f>IFERROR(D9*100/(D9+[11]SopäInt!D8),0)</f>
        <v>60.485325463190684</v>
      </c>
      <c r="I9" s="106">
        <f>IFERROR([11]SopäInt!D8*100/([11]SopäInt!D8+[11]SopäFö!D9),0)</f>
        <v>39.514674536809316</v>
      </c>
      <c r="J9" s="105">
        <f>(D9+[11]SopäInt!D8)*100/$J$4</f>
        <v>3.3860853488933738</v>
      </c>
      <c r="K9" s="116">
        <f>D9*100/$J$4</f>
        <v>2.0480847437395728</v>
      </c>
    </row>
    <row r="10" spans="1:11" ht="24.75" customHeight="1">
      <c r="A10" s="144" t="s">
        <v>12</v>
      </c>
      <c r="B10" s="145"/>
      <c r="C10" s="146"/>
      <c r="D10" s="22">
        <f>SUM(D11:D19)</f>
        <v>7282</v>
      </c>
      <c r="E10" s="33">
        <f>SUM(E11:E19)</f>
        <v>565</v>
      </c>
      <c r="F10" s="33">
        <f>[11]SKL!E42</f>
        <v>845</v>
      </c>
      <c r="G10" s="78">
        <f>[11]SKL!F42</f>
        <v>1378</v>
      </c>
      <c r="H10" s="107">
        <f>IFERROR(D10*100/(D10+[11]SopäInt!D9),0)</f>
        <v>75.15739498400248</v>
      </c>
      <c r="I10" s="108">
        <f>IFERROR([11]SopäInt!D9*100/([11]SopäInt!D9+[11]SopäFö!D10),0)</f>
        <v>24.842605015997524</v>
      </c>
      <c r="J10" s="107">
        <f>(D10+[11]SopäInt!D9)*100/$J$4</f>
        <v>2.6896032911483765</v>
      </c>
      <c r="K10" s="117">
        <f t="shared" ref="K10:K19" si="0">D10*100/$J$4</f>
        <v>2.0214357690311155</v>
      </c>
    </row>
    <row r="11" spans="1:11" ht="24.75" customHeight="1">
      <c r="A11" s="36"/>
      <c r="B11" s="36" t="s">
        <v>13</v>
      </c>
      <c r="C11" s="85"/>
      <c r="D11" s="8">
        <f>[11]SopäFö!D11</f>
        <v>145</v>
      </c>
      <c r="E11" s="7">
        <f>[11]SopäFö!E11</f>
        <v>10</v>
      </c>
      <c r="F11" s="88"/>
      <c r="G11" s="80"/>
      <c r="H11" s="109">
        <f>IFERROR(D11*100/(D11+[11]SopäInt!D10),0)</f>
        <v>36.895674300254456</v>
      </c>
      <c r="I11" s="106">
        <f>IFERROR([11]SopäInt!D10*100/([11]SopäInt!D10+[11]SopäFö!D11),0)</f>
        <v>63.104325699745544</v>
      </c>
      <c r="J11" s="109">
        <f>(D11+[11]SopäInt!D10)*100/$J$4</f>
        <v>0.10909424021274765</v>
      </c>
      <c r="K11" s="116">
        <f t="shared" si="0"/>
        <v>4.0251055549232591E-2</v>
      </c>
    </row>
    <row r="12" spans="1:11" ht="24.75" customHeight="1">
      <c r="A12" s="40"/>
      <c r="B12" s="41" t="s">
        <v>14</v>
      </c>
      <c r="C12" s="41"/>
      <c r="D12" s="42">
        <f>[11]SopäFö!D12</f>
        <v>509</v>
      </c>
      <c r="E12" s="87">
        <f>[11]SopäFö!E12</f>
        <v>66</v>
      </c>
      <c r="F12" s="89"/>
      <c r="G12" s="80"/>
      <c r="H12" s="110">
        <f>IFERROR(D12*100/(D12+[11]SopäInt!D11),0)</f>
        <v>50.646766169154226</v>
      </c>
      <c r="I12" s="111">
        <f>IFERROR([11]SopäInt!D11*100/([11]SopäInt!D11+[11]SopäFö!D12),0)</f>
        <v>49.353233830845774</v>
      </c>
      <c r="J12" s="110">
        <f>(D12+[11]SopäInt!D11)*100/$J$4</f>
        <v>0.27898145397916385</v>
      </c>
      <c r="K12" s="118">
        <f t="shared" si="0"/>
        <v>0.14129508465213372</v>
      </c>
    </row>
    <row r="13" spans="1:11" ht="24.75" customHeight="1">
      <c r="A13" s="45"/>
      <c r="B13" s="46" t="s">
        <v>15</v>
      </c>
      <c r="C13" s="86"/>
      <c r="D13" s="8">
        <f>[11]SopäFö!D13</f>
        <v>930</v>
      </c>
      <c r="E13" s="7">
        <f>[11]SopäFö!E13</f>
        <v>68</v>
      </c>
      <c r="F13" s="89"/>
      <c r="G13" s="80"/>
      <c r="H13" s="109">
        <f>IFERROR(D13*100/(D13+[11]SopäInt!D12),0)</f>
        <v>80.241587575496112</v>
      </c>
      <c r="I13" s="106">
        <f>IFERROR([11]SopäInt!D12*100/([11]SopäInt!D12+[11]SopäFö!D13),0)</f>
        <v>19.758412424503884</v>
      </c>
      <c r="J13" s="109">
        <f>(D13+[11]SopäInt!D12)*100/$J$4</f>
        <v>0.32173085090731429</v>
      </c>
      <c r="K13" s="116">
        <f t="shared" si="0"/>
        <v>0.25816194248818147</v>
      </c>
    </row>
    <row r="14" spans="1:11" ht="24.75" customHeight="1">
      <c r="A14" s="50"/>
      <c r="B14" s="41" t="s">
        <v>16</v>
      </c>
      <c r="C14" s="51"/>
      <c r="D14" s="42">
        <f>[11]SopäFö!D14</f>
        <v>1579</v>
      </c>
      <c r="E14" s="87">
        <f>[11]SopäFö!E14</f>
        <v>99</v>
      </c>
      <c r="F14" s="89"/>
      <c r="G14" s="80"/>
      <c r="H14" s="110">
        <f>IFERROR(D14*100/(D14+[11]SopäInt!D13),0)</f>
        <v>92.555685814771394</v>
      </c>
      <c r="I14" s="111">
        <f>IFERROR([11]SopäInt!D13*100/([11]SopäInt!D13+[11]SopäFö!D14),0)</f>
        <v>7.4443141852286052</v>
      </c>
      <c r="J14" s="110">
        <f>(D14+[11]SopäInt!D13)*100/$J$4</f>
        <v>0.47357448804821245</v>
      </c>
      <c r="K14" s="118">
        <f t="shared" si="0"/>
        <v>0.43832011525681563</v>
      </c>
    </row>
    <row r="15" spans="1:11" ht="24.75" customHeight="1">
      <c r="A15" s="52"/>
      <c r="B15" s="46" t="s">
        <v>17</v>
      </c>
      <c r="C15" s="46"/>
      <c r="D15" s="8">
        <f>[11]SopäFö!D15</f>
        <v>3085</v>
      </c>
      <c r="E15" s="7">
        <f>[11]SopäFö!E15</f>
        <v>306</v>
      </c>
      <c r="F15" s="89"/>
      <c r="G15" s="80"/>
      <c r="H15" s="109">
        <f>IFERROR(D15*100/(D15+[11]SopäInt!D14),0)</f>
        <v>90.231061713951448</v>
      </c>
      <c r="I15" s="106">
        <f>IFERROR([11]SopäInt!D14*100/([11]SopäInt!D14+[11]SopäFö!D15),0)</f>
        <v>9.7689382860485523</v>
      </c>
      <c r="J15" s="109">
        <f>(D15+[11]SopäInt!D14)*100/$J$4</f>
        <v>0.94909213050224994</v>
      </c>
      <c r="K15" s="116">
        <f t="shared" si="0"/>
        <v>0.85637590599574176</v>
      </c>
    </row>
    <row r="16" spans="1:11" ht="24.75" customHeight="1">
      <c r="A16" s="40"/>
      <c r="B16" s="41" t="s">
        <v>18</v>
      </c>
      <c r="C16" s="41"/>
      <c r="D16" s="42">
        <f>[11]SopäFö!D16</f>
        <v>915</v>
      </c>
      <c r="E16" s="87">
        <f>[11]SopäFö!E16</f>
        <v>12</v>
      </c>
      <c r="F16" s="89"/>
      <c r="G16" s="80"/>
      <c r="H16" s="110">
        <f>IFERROR(D16*100/(D16+[11]SopäInt!D15),0)</f>
        <v>84.722222222222229</v>
      </c>
      <c r="I16" s="111">
        <f>IFERROR([11]SopäInt!D15*100/([11]SopäInt!D15+[11]SopäFö!D16),0)</f>
        <v>15.277777777777779</v>
      </c>
      <c r="J16" s="110">
        <f>(D16+[11]SopäInt!D15)*100/$J$4</f>
        <v>0.29980096547014623</v>
      </c>
      <c r="K16" s="118">
        <f t="shared" si="0"/>
        <v>0.25399804018998501</v>
      </c>
    </row>
    <row r="17" spans="1:11" ht="24.75" customHeight="1">
      <c r="A17" s="45"/>
      <c r="B17" s="46" t="s">
        <v>19</v>
      </c>
      <c r="C17" s="46"/>
      <c r="D17" s="8">
        <f>[11]SopäFö!D17</f>
        <v>0</v>
      </c>
      <c r="E17" s="7">
        <f>[11]SopäFö!E17</f>
        <v>0</v>
      </c>
      <c r="F17" s="89"/>
      <c r="G17" s="80"/>
      <c r="H17" s="109">
        <f>IFERROR(D17*100/(D17+[11]SopäInt!D16),0)</f>
        <v>0</v>
      </c>
      <c r="I17" s="106">
        <f>IFERROR([11]SopäInt!D16*100/([11]SopäInt!D16+[11]SopäFö!D17),0)</f>
        <v>0</v>
      </c>
      <c r="J17" s="109">
        <f>(D17+[11]SopäInt!D16)*100/$J$4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[11]SopäFö!D18</f>
        <v>0</v>
      </c>
      <c r="E18" s="87">
        <f>[11]SopäFö!E18</f>
        <v>0</v>
      </c>
      <c r="F18" s="89"/>
      <c r="G18" s="80"/>
      <c r="H18" s="110">
        <f>IFERROR(D18*100/(D18+[11]SopäInt!D17),0)</f>
        <v>0</v>
      </c>
      <c r="I18" s="111">
        <f>IFERROR([11]SopäInt!D17*100/([11]SopäInt!D17+[11]SopäFö!D18),0)</f>
        <v>0</v>
      </c>
      <c r="J18" s="110">
        <f>(D18+[11]SopäInt!D17)*100/$J$4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[11]SopäFö!D19</f>
        <v>119</v>
      </c>
      <c r="E19" s="7">
        <f>[11]SopäFö!E19</f>
        <v>4</v>
      </c>
      <c r="F19" s="89"/>
      <c r="G19" s="80"/>
      <c r="H19" s="109">
        <f>IFERROR(D19*100/(D19+[11]SopäInt!D18),0)</f>
        <v>12.837108953613807</v>
      </c>
      <c r="I19" s="106">
        <f>IFERROR([11]SopäInt!D18*100/([11]SopäInt!D18+[11]SopäFö!D19),0)</f>
        <v>87.162891046386193</v>
      </c>
      <c r="J19" s="109">
        <f>(D19+[11]SopäInt!D18)*100/$J$4</f>
        <v>0.25732916202854217</v>
      </c>
      <c r="K19" s="116">
        <f t="shared" si="0"/>
        <v>3.3033624899025373E-2</v>
      </c>
    </row>
    <row r="20" spans="1:11" ht="24.75" customHeight="1">
      <c r="A20" s="98" t="s">
        <v>82</v>
      </c>
      <c r="B20" s="94"/>
      <c r="C20" s="94"/>
      <c r="D20" s="95">
        <f>[11]SopäFö!D20</f>
        <v>0</v>
      </c>
      <c r="E20" s="96">
        <f>[11]SopäFö!E20</f>
        <v>0</v>
      </c>
      <c r="F20" s="33">
        <f>[11]SKL!E43</f>
        <v>0</v>
      </c>
      <c r="G20" s="78">
        <f>[11]SKL!F43</f>
        <v>0</v>
      </c>
      <c r="H20" s="112">
        <f>IFERROR(D20*100/(D20+[11]SopäInt!D19),0)</f>
        <v>0</v>
      </c>
      <c r="I20" s="113">
        <f>IFERROR([11]SopäInt!D19*100/([11]SopäInt!D19+[11]SopäFö!D20),0)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4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[12]SKL!C2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33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[12]SopäFö!$J$4</f>
        <v>79834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[12]SKL!D40</f>
        <v>3314</v>
      </c>
      <c r="E8" s="83">
        <f>SUM(E9,E10,E20)</f>
        <v>392</v>
      </c>
      <c r="F8" s="83">
        <f>[12]SKL!E40</f>
        <v>342</v>
      </c>
      <c r="G8" s="84">
        <f>[12]SKL!F40</f>
        <v>650</v>
      </c>
      <c r="H8" s="103">
        <f>IFERROR(D8*100/(D8+[12]SopäInt!D7),0)</f>
        <v>100</v>
      </c>
      <c r="I8" s="104">
        <f>IFERROR([12]SopäInt!D7*100/([12]SopäInt!D7+[12]SopäFö!D8),0)</f>
        <v>0</v>
      </c>
      <c r="J8" s="103">
        <f>(D8-D20+[12]SopäInt!D7-[12]SopäInt!D19)*100/$J$4</f>
        <v>3.8404689731192225</v>
      </c>
      <c r="K8" s="115">
        <f>(D8-D20)*100/$J$4</f>
        <v>3.8404689731192225</v>
      </c>
    </row>
    <row r="9" spans="1:11" ht="24.75" customHeight="1" thickTop="1">
      <c r="A9" s="142" t="s">
        <v>11</v>
      </c>
      <c r="B9" s="143"/>
      <c r="C9" s="143"/>
      <c r="D9" s="23">
        <f>[12]SKL!D41</f>
        <v>1279</v>
      </c>
      <c r="E9" s="7">
        <f>[12]SopäFö!E9</f>
        <v>181</v>
      </c>
      <c r="F9" s="24">
        <f>[12]SKL!E41</f>
        <v>105</v>
      </c>
      <c r="G9" s="79">
        <f>[12]SKL!F41</f>
        <v>155</v>
      </c>
      <c r="H9" s="105">
        <f>IFERROR(D9*100/(D9+[12]SopäInt!D8),0)</f>
        <v>100</v>
      </c>
      <c r="I9" s="106">
        <f>IFERROR([12]SopäInt!D8*100/([12]SopäInt!D8+[12]SopäFö!D9),0)</f>
        <v>0</v>
      </c>
      <c r="J9" s="105">
        <f>(D9+[12]SopäInt!D8)*100/$J$4</f>
        <v>1.602074304181176</v>
      </c>
      <c r="K9" s="116">
        <f>D9*100/$J$4</f>
        <v>1.602074304181176</v>
      </c>
    </row>
    <row r="10" spans="1:11" ht="24.75" customHeight="1">
      <c r="A10" s="144" t="s">
        <v>12</v>
      </c>
      <c r="B10" s="145"/>
      <c r="C10" s="146"/>
      <c r="D10" s="22">
        <f>SUM(D11:D19)</f>
        <v>1787</v>
      </c>
      <c r="E10" s="33">
        <f>SUM(E11:E19)</f>
        <v>211</v>
      </c>
      <c r="F10" s="33">
        <f>[12]SKL!E42</f>
        <v>226</v>
      </c>
      <c r="G10" s="78">
        <f>[12]SKL!F42</f>
        <v>435</v>
      </c>
      <c r="H10" s="107">
        <f>IFERROR(D10*100/(D10+[12]SopäInt!D9),0)</f>
        <v>100</v>
      </c>
      <c r="I10" s="108">
        <f>IFERROR([12]SopäInt!D9*100/([12]SopäInt!D9+[12]SopäFö!D10),0)</f>
        <v>0</v>
      </c>
      <c r="J10" s="107">
        <f>(D10+[12]SopäInt!D9)*100/$J$4</f>
        <v>2.2383946689380463</v>
      </c>
      <c r="K10" s="117">
        <f t="shared" ref="K10:K19" si="0">D10*100/$J$4</f>
        <v>2.2383946689380463</v>
      </c>
    </row>
    <row r="11" spans="1:11" ht="24.75" customHeight="1">
      <c r="A11" s="36"/>
      <c r="B11" s="36" t="s">
        <v>13</v>
      </c>
      <c r="C11" s="85"/>
      <c r="D11" s="8">
        <f>[12]SopäFö!D11</f>
        <v>67</v>
      </c>
      <c r="E11" s="7">
        <f>[12]SopäFö!E11</f>
        <v>9</v>
      </c>
      <c r="F11" s="88"/>
      <c r="G11" s="80"/>
      <c r="H11" s="109">
        <f>IFERROR(D11*100/(D11+[12]SopäInt!D10),0)</f>
        <v>100</v>
      </c>
      <c r="I11" s="106">
        <f>IFERROR([12]SopäInt!D10*100/([12]SopäInt!D10+[12]SopäFö!D11),0)</f>
        <v>0</v>
      </c>
      <c r="J11" s="109">
        <f>(D11+[12]SopäInt!D10)*100/$J$4</f>
        <v>8.3924142595886458E-2</v>
      </c>
      <c r="K11" s="116">
        <f t="shared" si="0"/>
        <v>8.3924142595886458E-2</v>
      </c>
    </row>
    <row r="12" spans="1:11" ht="24.75" customHeight="1">
      <c r="A12" s="40"/>
      <c r="B12" s="41" t="s">
        <v>14</v>
      </c>
      <c r="C12" s="41"/>
      <c r="D12" s="42">
        <f>[12]SopäFö!D12</f>
        <v>128</v>
      </c>
      <c r="E12" s="87">
        <f>[12]SopäFö!E12</f>
        <v>26</v>
      </c>
      <c r="F12" s="89"/>
      <c r="G12" s="80"/>
      <c r="H12" s="110">
        <f>IFERROR(D12*100/(D12+[12]SopäInt!D11),0)</f>
        <v>100</v>
      </c>
      <c r="I12" s="111">
        <f>IFERROR([12]SopäInt!D11*100/([12]SopäInt!D11+[12]SopäFö!D12),0)</f>
        <v>0</v>
      </c>
      <c r="J12" s="110">
        <f>(D12+[12]SopäInt!D11)*100/$J$4</f>
        <v>0.16033269033243983</v>
      </c>
      <c r="K12" s="118">
        <f t="shared" si="0"/>
        <v>0.16033269033243983</v>
      </c>
    </row>
    <row r="13" spans="1:11" ht="24.75" customHeight="1">
      <c r="A13" s="45"/>
      <c r="B13" s="46" t="s">
        <v>15</v>
      </c>
      <c r="C13" s="86"/>
      <c r="D13" s="8">
        <f>[12]SopäFö!D13</f>
        <v>188</v>
      </c>
      <c r="E13" s="7">
        <f>[12]SopäFö!E13</f>
        <v>14</v>
      </c>
      <c r="F13" s="89"/>
      <c r="G13" s="80"/>
      <c r="H13" s="109">
        <f>IFERROR(D13*100/(D13+[12]SopäInt!D12),0)</f>
        <v>100</v>
      </c>
      <c r="I13" s="106">
        <f>IFERROR([12]SopäInt!D12*100/([12]SopäInt!D12+[12]SopäFö!D13),0)</f>
        <v>0</v>
      </c>
      <c r="J13" s="109">
        <f>(D13+[12]SopäInt!D12)*100/$J$4</f>
        <v>0.23548863892577099</v>
      </c>
      <c r="K13" s="116">
        <f t="shared" si="0"/>
        <v>0.23548863892577099</v>
      </c>
    </row>
    <row r="14" spans="1:11" ht="24.75" customHeight="1">
      <c r="A14" s="50"/>
      <c r="B14" s="41" t="s">
        <v>16</v>
      </c>
      <c r="C14" s="51"/>
      <c r="D14" s="42">
        <f>[12]SopäFö!D14</f>
        <v>280</v>
      </c>
      <c r="E14" s="87">
        <f>[12]SopäFö!E14</f>
        <v>39</v>
      </c>
      <c r="F14" s="89"/>
      <c r="G14" s="80"/>
      <c r="H14" s="110">
        <f>IFERROR(D14*100/(D14+[12]SopäInt!D13),0)</f>
        <v>100</v>
      </c>
      <c r="I14" s="111">
        <f>IFERROR([12]SopäInt!D13*100/([12]SopäInt!D13+[12]SopäFö!D14),0)</f>
        <v>0</v>
      </c>
      <c r="J14" s="110">
        <f>(D14+[12]SopäInt!D13)*100/$J$4</f>
        <v>0.35072776010221207</v>
      </c>
      <c r="K14" s="118">
        <f t="shared" si="0"/>
        <v>0.35072776010221207</v>
      </c>
    </row>
    <row r="15" spans="1:11" ht="24.75" customHeight="1">
      <c r="A15" s="52"/>
      <c r="B15" s="46" t="s">
        <v>17</v>
      </c>
      <c r="C15" s="46"/>
      <c r="D15" s="8">
        <f>[12]SopäFö!D15</f>
        <v>671</v>
      </c>
      <c r="E15" s="7">
        <f>[12]SopäFö!E15</f>
        <v>95</v>
      </c>
      <c r="F15" s="89"/>
      <c r="G15" s="80"/>
      <c r="H15" s="109">
        <f>IFERROR(D15*100/(D15+[12]SopäInt!D14),0)</f>
        <v>100</v>
      </c>
      <c r="I15" s="106">
        <f>IFERROR([12]SopäInt!D14*100/([12]SopäInt!D14+[12]SopäFö!D15),0)</f>
        <v>0</v>
      </c>
      <c r="J15" s="109">
        <f>(D15+[12]SopäInt!D14)*100/$J$4</f>
        <v>0.84049402510208682</v>
      </c>
      <c r="K15" s="116">
        <f t="shared" si="0"/>
        <v>0.84049402510208682</v>
      </c>
    </row>
    <row r="16" spans="1:11" ht="24.75" customHeight="1">
      <c r="A16" s="40"/>
      <c r="B16" s="41" t="s">
        <v>18</v>
      </c>
      <c r="C16" s="41"/>
      <c r="D16" s="42">
        <f>[12]SopäFö!D16</f>
        <v>80</v>
      </c>
      <c r="E16" s="87">
        <f>[12]SopäFö!E16</f>
        <v>12</v>
      </c>
      <c r="F16" s="89"/>
      <c r="G16" s="80"/>
      <c r="H16" s="110">
        <f>IFERROR(D16*100/(D16+[12]SopäInt!D15),0)</f>
        <v>100</v>
      </c>
      <c r="I16" s="111">
        <f>IFERROR([12]SopäInt!D15*100/([12]SopäInt!D15+[12]SopäFö!D16),0)</f>
        <v>0</v>
      </c>
      <c r="J16" s="110">
        <f>(D16+[12]SopäInt!D15)*100/$J$4</f>
        <v>0.10020793145777489</v>
      </c>
      <c r="K16" s="118">
        <f t="shared" si="0"/>
        <v>0.10020793145777489</v>
      </c>
    </row>
    <row r="17" spans="1:11" ht="24.75" customHeight="1">
      <c r="A17" s="45"/>
      <c r="B17" s="46" t="s">
        <v>19</v>
      </c>
      <c r="C17" s="46"/>
      <c r="D17" s="8">
        <f>[12]SopäFö!D17</f>
        <v>373</v>
      </c>
      <c r="E17" s="7">
        <f>[12]SopäFö!E17</f>
        <v>16</v>
      </c>
      <c r="F17" s="89"/>
      <c r="G17" s="80"/>
      <c r="H17" s="109">
        <f>IFERROR(D17*100/(D17+[12]SopäInt!D16),0)</f>
        <v>100</v>
      </c>
      <c r="I17" s="106">
        <f>IFERROR([12]SopäInt!D16*100/([12]SopäInt!D16+[12]SopäFö!D17),0)</f>
        <v>0</v>
      </c>
      <c r="J17" s="109">
        <f>(D17+[12]SopäInt!D16)*100/$J$4</f>
        <v>0.46721948042187539</v>
      </c>
      <c r="K17" s="116">
        <f t="shared" si="0"/>
        <v>0.46721948042187539</v>
      </c>
    </row>
    <row r="18" spans="1:11" ht="24.75" customHeight="1">
      <c r="A18" s="50"/>
      <c r="B18" s="41" t="s">
        <v>20</v>
      </c>
      <c r="C18" s="41"/>
      <c r="D18" s="42">
        <f>[12]SopäFö!D18</f>
        <v>0</v>
      </c>
      <c r="E18" s="87">
        <f>[12]SopäFö!E18</f>
        <v>0</v>
      </c>
      <c r="F18" s="89"/>
      <c r="G18" s="80"/>
      <c r="H18" s="110">
        <f>IFERROR(D18*100/(D18+[12]SopäInt!D17),0)</f>
        <v>0</v>
      </c>
      <c r="I18" s="111">
        <f>IFERROR([12]SopäInt!D17*100/([12]SopäInt!D17+[12]SopäFö!D18),0)</f>
        <v>0</v>
      </c>
      <c r="J18" s="110">
        <f>(D18+[12]SopäInt!D17)*100/$J$4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[12]SopäFö!D19</f>
        <v>0</v>
      </c>
      <c r="E19" s="7">
        <f>[12]SopäFö!E19</f>
        <v>0</v>
      </c>
      <c r="F19" s="89"/>
      <c r="G19" s="80"/>
      <c r="H19" s="109">
        <f>IFERROR(D19*100/(D19+[12]SopäInt!D18),0)</f>
        <v>0</v>
      </c>
      <c r="I19" s="106">
        <f>IFERROR([12]SopäInt!D18*100/([12]SopäInt!D18+[12]SopäFö!D19),0)</f>
        <v>0</v>
      </c>
      <c r="J19" s="109">
        <f>(D19+[12]SopäInt!D18)*100/$J$4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[12]SopäFö!D20</f>
        <v>248</v>
      </c>
      <c r="E20" s="96">
        <f>[12]SopäFö!E20</f>
        <v>0</v>
      </c>
      <c r="F20" s="33">
        <f>[12]SKL!E43</f>
        <v>11</v>
      </c>
      <c r="G20" s="78">
        <f>[12]SKL!F43</f>
        <v>60</v>
      </c>
      <c r="H20" s="112">
        <f>IFERROR(D20*100/(D20+[12]SopäInt!D19),0)</f>
        <v>100</v>
      </c>
      <c r="I20" s="113">
        <f>IFERROR([12]SopäInt!D19*100/([12]SopäInt!D19+[12]SopäFö!D20),0)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5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[13]SKL!C2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34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[13]SopäFö!$J$4</f>
        <v>333025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[13]SKL!D40</f>
        <v>18919</v>
      </c>
      <c r="E8" s="83">
        <f>SUM(E9,E10,E20)</f>
        <v>1393</v>
      </c>
      <c r="F8" s="83">
        <f>[13]SKL!E40</f>
        <v>1976</v>
      </c>
      <c r="G8" s="84">
        <f>[13]SKL!F40</f>
        <v>3234</v>
      </c>
      <c r="H8" s="103">
        <f>IFERROR(D8*100/(D8+[13]SopäInt!D7),0)</f>
        <v>66.771370085409757</v>
      </c>
      <c r="I8" s="104">
        <f>IFERROR([13]SopäInt!D7*100/([13]SopäInt!D7+[13]SopäFö!D8),0)</f>
        <v>33.228629914590243</v>
      </c>
      <c r="J8" s="103">
        <f>(D8-D20+[13]SopäInt!D7-[13]SopäInt!D19)*100/$J$4</f>
        <v>8.5080699647173628</v>
      </c>
      <c r="K8" s="115">
        <f>(D8-D20)*100/$J$4</f>
        <v>5.680954883267022</v>
      </c>
    </row>
    <row r="9" spans="1:11" ht="24.75" customHeight="1" thickTop="1">
      <c r="A9" s="142" t="s">
        <v>11</v>
      </c>
      <c r="B9" s="143"/>
      <c r="C9" s="143"/>
      <c r="D9" s="23">
        <f>[13]SKL!D41</f>
        <v>11311</v>
      </c>
      <c r="E9" s="7">
        <f>[13]SopäFö!E9</f>
        <v>860</v>
      </c>
      <c r="F9" s="24">
        <f>[13]SKL!E41</f>
        <v>1009</v>
      </c>
      <c r="G9" s="79">
        <f>[13]SKL!F41</f>
        <v>1651</v>
      </c>
      <c r="H9" s="105">
        <f>IFERROR(D9*100/(D9+[13]SopäInt!D8),0)</f>
        <v>94.636880856760371</v>
      </c>
      <c r="I9" s="106">
        <f>IFERROR([13]SopäInt!D8*100/([13]SopäInt!D8+[13]SopäFö!D9),0)</f>
        <v>5.3631191432396248</v>
      </c>
      <c r="J9" s="105">
        <f>(D9+[13]SopäInt!D8)*100/$J$4</f>
        <v>3.5889197507694619</v>
      </c>
      <c r="K9" s="116">
        <f>D9*100/$J$4</f>
        <v>3.3964417085804368</v>
      </c>
    </row>
    <row r="10" spans="1:11" ht="24.75" customHeight="1">
      <c r="A10" s="144" t="s">
        <v>12</v>
      </c>
      <c r="B10" s="145"/>
      <c r="C10" s="146"/>
      <c r="D10" s="22">
        <f>SUM(D11:D19)</f>
        <v>7608</v>
      </c>
      <c r="E10" s="33">
        <f>SUM(E11:E19)</f>
        <v>533</v>
      </c>
      <c r="F10" s="33">
        <f>[13]SKL!E42</f>
        <v>967</v>
      </c>
      <c r="G10" s="78">
        <f>[13]SKL!F42</f>
        <v>1583</v>
      </c>
      <c r="H10" s="107">
        <f>IFERROR(D10*100/(D10+[13]SopäInt!D9),0)</f>
        <v>46.441215968746185</v>
      </c>
      <c r="I10" s="108">
        <f>IFERROR([13]SopäInt!D9*100/([13]SopäInt!D9+[13]SopäFö!D10),0)</f>
        <v>53.558784031253815</v>
      </c>
      <c r="J10" s="107">
        <f>(D10+[13]SopäInt!D9)*100/$J$4</f>
        <v>4.9191502139479022</v>
      </c>
      <c r="K10" s="117">
        <f t="shared" ref="K10:K19" si="0">D10*100/$J$4</f>
        <v>2.2845131746865852</v>
      </c>
    </row>
    <row r="11" spans="1:11" ht="24.75" customHeight="1">
      <c r="A11" s="36"/>
      <c r="B11" s="36" t="s">
        <v>13</v>
      </c>
      <c r="C11" s="85"/>
      <c r="D11" s="8">
        <f>[13]SopäFö!D11</f>
        <v>149</v>
      </c>
      <c r="E11" s="7">
        <f>[13]SopäFö!E11</f>
        <v>15</v>
      </c>
      <c r="F11" s="88"/>
      <c r="G11" s="80"/>
      <c r="H11" s="109">
        <f>IFERROR(D11*100/(D11+[13]SopäInt!D10),0)</f>
        <v>51.916376306620208</v>
      </c>
      <c r="I11" s="106">
        <f>IFERROR([13]SopäInt!D10*100/([13]SopäInt!D10+[13]SopäFö!D11),0)</f>
        <v>48.083623693379792</v>
      </c>
      <c r="J11" s="109">
        <f>(D11+[13]SopäInt!D10)*100/$J$4</f>
        <v>8.6179716237519702E-2</v>
      </c>
      <c r="K11" s="116">
        <f t="shared" si="0"/>
        <v>4.4741385781848213E-2</v>
      </c>
    </row>
    <row r="12" spans="1:11" ht="24.75" customHeight="1">
      <c r="A12" s="40"/>
      <c r="B12" s="41" t="s">
        <v>14</v>
      </c>
      <c r="C12" s="41"/>
      <c r="D12" s="42">
        <f>[13]SopäFö!D12</f>
        <v>310</v>
      </c>
      <c r="E12" s="87">
        <f>[13]SopäFö!E12</f>
        <v>28</v>
      </c>
      <c r="F12" s="89"/>
      <c r="G12" s="80"/>
      <c r="H12" s="110">
        <f>IFERROR(D12*100/(D12+[13]SopäInt!D11),0)</f>
        <v>37.66707168894289</v>
      </c>
      <c r="I12" s="111">
        <f>IFERROR([13]SopäInt!D11*100/([13]SopäInt!D11+[13]SopäFö!D12),0)</f>
        <v>62.33292831105711</v>
      </c>
      <c r="J12" s="110">
        <f>(D12+[13]SopäInt!D11)*100/$J$4</f>
        <v>0.2471285939494032</v>
      </c>
      <c r="K12" s="118">
        <f t="shared" si="0"/>
        <v>9.3086104646798284E-2</v>
      </c>
    </row>
    <row r="13" spans="1:11" ht="24.75" customHeight="1">
      <c r="A13" s="45"/>
      <c r="B13" s="46" t="s">
        <v>15</v>
      </c>
      <c r="C13" s="86"/>
      <c r="D13" s="8">
        <f>[13]SopäFö!D13</f>
        <v>1199</v>
      </c>
      <c r="E13" s="7">
        <f>[13]SopäFö!E13</f>
        <v>122</v>
      </c>
      <c r="F13" s="89"/>
      <c r="G13" s="80"/>
      <c r="H13" s="109">
        <f>IFERROR(D13*100/(D13+[13]SopäInt!D12),0)</f>
        <v>31.150948298259287</v>
      </c>
      <c r="I13" s="106">
        <f>IFERROR([13]SopäInt!D12*100/([13]SopäInt!D12+[13]SopäFö!D13),0)</f>
        <v>68.849051701740706</v>
      </c>
      <c r="J13" s="109">
        <f>(D13+[13]SopäInt!D12)*100/$J$4</f>
        <v>1.1557690864049246</v>
      </c>
      <c r="K13" s="116">
        <f t="shared" si="0"/>
        <v>0.36003303055326175</v>
      </c>
    </row>
    <row r="14" spans="1:11" ht="24.75" customHeight="1">
      <c r="A14" s="50"/>
      <c r="B14" s="41" t="s">
        <v>16</v>
      </c>
      <c r="C14" s="51"/>
      <c r="D14" s="42">
        <f>[13]SopäFö!D14</f>
        <v>411</v>
      </c>
      <c r="E14" s="87">
        <f>[13]SopäFö!E14</f>
        <v>23</v>
      </c>
      <c r="F14" s="89"/>
      <c r="G14" s="80"/>
      <c r="H14" s="110">
        <f>IFERROR(D14*100/(D14+[13]SopäInt!D13),0)</f>
        <v>24.939320388349515</v>
      </c>
      <c r="I14" s="111">
        <f>IFERROR([13]SopäInt!D13*100/([13]SopäInt!D13+[13]SopäFö!D14),0)</f>
        <v>75.060679611650485</v>
      </c>
      <c r="J14" s="110">
        <f>(D14+[13]SopäInt!D13)*100/$J$4</f>
        <v>0.4948577434126567</v>
      </c>
      <c r="K14" s="118">
        <f t="shared" si="0"/>
        <v>0.12341415809623903</v>
      </c>
    </row>
    <row r="15" spans="1:11" ht="24.75" customHeight="1">
      <c r="A15" s="52"/>
      <c r="B15" s="46" t="s">
        <v>17</v>
      </c>
      <c r="C15" s="46"/>
      <c r="D15" s="8">
        <f>[13]SopäFö!D15</f>
        <v>4153</v>
      </c>
      <c r="E15" s="7">
        <f>[13]SopäFö!E15</f>
        <v>295</v>
      </c>
      <c r="F15" s="89"/>
      <c r="G15" s="80"/>
      <c r="H15" s="109">
        <f>IFERROR(D15*100/(D15+[13]SopäInt!D14),0)</f>
        <v>96.671322160148975</v>
      </c>
      <c r="I15" s="106">
        <f>IFERROR([13]SopäInt!D14*100/([13]SopäInt!D14+[13]SopäFö!D15),0)</f>
        <v>3.3286778398510242</v>
      </c>
      <c r="J15" s="109">
        <f>(D15+[13]SopäInt!D14)*100/$J$4</f>
        <v>1.2899932437504691</v>
      </c>
      <c r="K15" s="116">
        <f t="shared" si="0"/>
        <v>1.2470535245101719</v>
      </c>
    </row>
    <row r="16" spans="1:11" ht="24.75" customHeight="1">
      <c r="A16" s="40"/>
      <c r="B16" s="41" t="s">
        <v>18</v>
      </c>
      <c r="C16" s="41"/>
      <c r="D16" s="42">
        <f>[13]SopäFö!D16</f>
        <v>1386</v>
      </c>
      <c r="E16" s="87">
        <f>[13]SopäFö!E16</f>
        <v>50</v>
      </c>
      <c r="F16" s="89"/>
      <c r="G16" s="80"/>
      <c r="H16" s="110">
        <f>IFERROR(D16*100/(D16+[13]SopäInt!D15),0)</f>
        <v>25.296586968424894</v>
      </c>
      <c r="I16" s="111">
        <f>IFERROR([13]SopäInt!D15*100/([13]SopäInt!D15+[13]SopäFö!D16),0)</f>
        <v>74.70341303157511</v>
      </c>
      <c r="J16" s="110">
        <f>(D16+[13]SopäInt!D15)*100/$J$4</f>
        <v>1.6452218301929284</v>
      </c>
      <c r="K16" s="118">
        <f t="shared" si="0"/>
        <v>0.41618497109826591</v>
      </c>
    </row>
    <row r="17" spans="1:11" ht="24.75" customHeight="1">
      <c r="A17" s="45"/>
      <c r="B17" s="46" t="s">
        <v>19</v>
      </c>
      <c r="C17" s="46"/>
      <c r="D17" s="8">
        <f>[13]SopäFö!D17</f>
        <v>0</v>
      </c>
      <c r="E17" s="7">
        <f>[13]SopäFö!E17</f>
        <v>0</v>
      </c>
      <c r="F17" s="89"/>
      <c r="G17" s="80"/>
      <c r="H17" s="109">
        <f>IFERROR(D17*100/(D17+[13]SopäInt!D16),0)</f>
        <v>0</v>
      </c>
      <c r="I17" s="106">
        <f>IFERROR([13]SopäInt!D16*100/([13]SopäInt!D16+[13]SopäFö!D17),0)</f>
        <v>0</v>
      </c>
      <c r="J17" s="109">
        <f>(D17+[13]SopäInt!D16)*100/$J$4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[13]SopäFö!D18</f>
        <v>0</v>
      </c>
      <c r="E18" s="87">
        <f>[13]SopäFö!E18</f>
        <v>0</v>
      </c>
      <c r="F18" s="89"/>
      <c r="G18" s="80"/>
      <c r="H18" s="110">
        <f>IFERROR(D18*100/(D18+[13]SopäInt!D17),0)</f>
        <v>0</v>
      </c>
      <c r="I18" s="111">
        <f>IFERROR([13]SopäInt!D17*100/([13]SopäInt!D17+[13]SopäFö!D18),0)</f>
        <v>0</v>
      </c>
      <c r="J18" s="110">
        <f>(D18+[13]SopäInt!D17)*100/$J$4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[13]SopäFö!D19</f>
        <v>0</v>
      </c>
      <c r="E19" s="7">
        <f>[13]SopäFö!E19</f>
        <v>0</v>
      </c>
      <c r="F19" s="89"/>
      <c r="G19" s="80"/>
      <c r="H19" s="109">
        <f>IFERROR(D19*100/(D19+[13]SopäInt!D18),0)</f>
        <v>0</v>
      </c>
      <c r="I19" s="106">
        <f>IFERROR([13]SopäInt!D18*100/([13]SopäInt!D18+[13]SopäFö!D19),0)</f>
        <v>0</v>
      </c>
      <c r="J19" s="109">
        <f>(D19+[13]SopäInt!D18)*100/$J$4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[13]SopäFö!D20</f>
        <v>0</v>
      </c>
      <c r="E20" s="96">
        <f>[13]SopäFö!E20</f>
        <v>0</v>
      </c>
      <c r="F20" s="33">
        <f>[13]SKL!E43</f>
        <v>0</v>
      </c>
      <c r="G20" s="78">
        <f>[13]SKL!F43</f>
        <v>0</v>
      </c>
      <c r="H20" s="112">
        <f>IFERROR(D20*100/(D20+[13]SopäInt!D19),0)</f>
        <v>0</v>
      </c>
      <c r="I20" s="113">
        <f>IFERROR([13]SopäInt!D19*100/([13]SopäInt!D19+[13]SopäFö!D20),0)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6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[14]SKL!C2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35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[14]SopäFö!$J$4</f>
        <v>174695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[14]SKL!D40</f>
        <v>10451</v>
      </c>
      <c r="E8" s="83">
        <f>SUM(E9,E10,E20)</f>
        <v>227</v>
      </c>
      <c r="F8" s="83">
        <f>[14]SKL!E40</f>
        <v>1231</v>
      </c>
      <c r="G8" s="84">
        <f>[14]SKL!F40</f>
        <v>1766</v>
      </c>
      <c r="H8" s="103">
        <f>IFERROR(D8*100/(D8+[14]SopäInt!D7),0)</f>
        <v>66.179078014184398</v>
      </c>
      <c r="I8" s="104">
        <f>IFERROR([14]SopäInt!D7*100/([14]SopäInt!D7+[14]SopäFö!D8),0)</f>
        <v>33.820921985815602</v>
      </c>
      <c r="J8" s="103">
        <f>(D8-D20+[14]SopäInt!D7-[14]SopäInt!D19)*100/$J$4</f>
        <v>9.0397550015741714</v>
      </c>
      <c r="K8" s="115">
        <f>(D8-D20)*100/$J$4</f>
        <v>5.9824265147829072</v>
      </c>
    </row>
    <row r="9" spans="1:11" ht="24.75" customHeight="1" thickTop="1">
      <c r="A9" s="142" t="s">
        <v>11</v>
      </c>
      <c r="B9" s="143"/>
      <c r="C9" s="143"/>
      <c r="D9" s="23">
        <f>[14]SKL!D41</f>
        <v>4145</v>
      </c>
      <c r="E9" s="7">
        <f>[14]SopäFö!E9</f>
        <v>70</v>
      </c>
      <c r="F9" s="24">
        <f>[14]SKL!E41</f>
        <v>394</v>
      </c>
      <c r="G9" s="79">
        <f>[14]SKL!F41</f>
        <v>579</v>
      </c>
      <c r="H9" s="105">
        <f>IFERROR(D9*100/(D9+[14]SopäInt!D8),0)</f>
        <v>67.574176719921752</v>
      </c>
      <c r="I9" s="106">
        <f>IFERROR([14]SopäInt!D8*100/([14]SopäInt!D8+[14]SopäFö!D9),0)</f>
        <v>32.425823280078255</v>
      </c>
      <c r="J9" s="105">
        <f>(D9+[14]SopäInt!D8)*100/$J$4</f>
        <v>3.5112624860471109</v>
      </c>
      <c r="K9" s="116">
        <f>D9*100/$J$4</f>
        <v>2.3727067174217922</v>
      </c>
    </row>
    <row r="10" spans="1:11" ht="24.75" customHeight="1">
      <c r="A10" s="144" t="s">
        <v>12</v>
      </c>
      <c r="B10" s="145"/>
      <c r="C10" s="146"/>
      <c r="D10" s="22">
        <f>SUM(D11:D19)</f>
        <v>6306</v>
      </c>
      <c r="E10" s="33">
        <f>SUM(E11:E19)</f>
        <v>157</v>
      </c>
      <c r="F10" s="33">
        <f>[14]SKL!E42</f>
        <v>837</v>
      </c>
      <c r="G10" s="78">
        <f>[14]SKL!F42</f>
        <v>1187</v>
      </c>
      <c r="H10" s="107">
        <f>IFERROR(D10*100/(D10+[14]SopäInt!D9),0)</f>
        <v>65.293021329467805</v>
      </c>
      <c r="I10" s="108">
        <f>IFERROR([14]SopäInt!D9*100/([14]SopäInt!D9+[14]SopäFö!D10),0)</f>
        <v>34.706978670532202</v>
      </c>
      <c r="J10" s="107">
        <f>(D10+[14]SopäInt!D9)*100/$J$4</f>
        <v>5.5284925155270619</v>
      </c>
      <c r="K10" s="117">
        <f t="shared" ref="K10:K19" si="0">D10*100/$J$4</f>
        <v>3.609719797361115</v>
      </c>
    </row>
    <row r="11" spans="1:11" ht="24.75" customHeight="1">
      <c r="A11" s="36"/>
      <c r="B11" s="36" t="s">
        <v>13</v>
      </c>
      <c r="C11" s="85"/>
      <c r="D11" s="8">
        <f>[14]SopäFö!D11</f>
        <v>154</v>
      </c>
      <c r="E11" s="7">
        <f>[14]SopäFö!E11</f>
        <v>5</v>
      </c>
      <c r="F11" s="88"/>
      <c r="G11" s="80"/>
      <c r="H11" s="109">
        <f>IFERROR(D11*100/(D11+[14]SopäInt!D10),0)</f>
        <v>59.230769230769234</v>
      </c>
      <c r="I11" s="106">
        <f>IFERROR([14]SopäInt!D10*100/([14]SopäInt!D10+[14]SopäFö!D11),0)</f>
        <v>40.769230769230766</v>
      </c>
      <c r="J11" s="109">
        <f>(D11+[14]SopäInt!D10)*100/$J$4</f>
        <v>0.14883081942814619</v>
      </c>
      <c r="K11" s="116">
        <f t="shared" si="0"/>
        <v>8.8153639199748127E-2</v>
      </c>
    </row>
    <row r="12" spans="1:11" ht="24.75" customHeight="1">
      <c r="A12" s="40"/>
      <c r="B12" s="41" t="s">
        <v>14</v>
      </c>
      <c r="C12" s="41"/>
      <c r="D12" s="42">
        <f>[14]SopäFö!D12</f>
        <v>346</v>
      </c>
      <c r="E12" s="87">
        <f>[14]SopäFö!E12</f>
        <v>18</v>
      </c>
      <c r="F12" s="89"/>
      <c r="G12" s="80"/>
      <c r="H12" s="110">
        <f>IFERROR(D12*100/(D12+[14]SopäInt!D11),0)</f>
        <v>58.644067796610166</v>
      </c>
      <c r="I12" s="111">
        <f>IFERROR([14]SopäInt!D11*100/([14]SopäInt!D11+[14]SopäFö!D12),0)</f>
        <v>41.355932203389834</v>
      </c>
      <c r="J12" s="110">
        <f>(D12+[14]SopäInt!D11)*100/$J$4</f>
        <v>0.33773147485617788</v>
      </c>
      <c r="K12" s="118">
        <f t="shared" si="0"/>
        <v>0.1980594750851484</v>
      </c>
    </row>
    <row r="13" spans="1:11" ht="24.75" customHeight="1">
      <c r="A13" s="45"/>
      <c r="B13" s="46" t="s">
        <v>15</v>
      </c>
      <c r="C13" s="86"/>
      <c r="D13" s="8">
        <f>[14]SopäFö!D13</f>
        <v>222</v>
      </c>
      <c r="E13" s="7">
        <f>[14]SopäFö!E13</f>
        <v>1</v>
      </c>
      <c r="F13" s="89"/>
      <c r="G13" s="80"/>
      <c r="H13" s="109">
        <f>IFERROR(D13*100/(D13+[14]SopäInt!D12),0)</f>
        <v>30.081300813008131</v>
      </c>
      <c r="I13" s="106">
        <f>IFERROR([14]SopäInt!D12*100/([14]SopäInt!D12+[14]SopäFö!D13),0)</f>
        <v>69.918699186991873</v>
      </c>
      <c r="J13" s="109">
        <f>(D13+[14]SopäInt!D12)*100/$J$4</f>
        <v>0.42245055668450726</v>
      </c>
      <c r="K13" s="116">
        <f t="shared" si="0"/>
        <v>0.12707862274249407</v>
      </c>
    </row>
    <row r="14" spans="1:11" ht="24.75" customHeight="1">
      <c r="A14" s="50"/>
      <c r="B14" s="41" t="s">
        <v>16</v>
      </c>
      <c r="C14" s="51"/>
      <c r="D14" s="42">
        <f>[14]SopäFö!D14</f>
        <v>755</v>
      </c>
      <c r="E14" s="87">
        <f>[14]SopäFö!E14</f>
        <v>6</v>
      </c>
      <c r="F14" s="89"/>
      <c r="G14" s="80"/>
      <c r="H14" s="110">
        <f>IFERROR(D14*100/(D14+[14]SopäInt!D13),0)</f>
        <v>70.692883895131089</v>
      </c>
      <c r="I14" s="111">
        <f>IFERROR([14]SopäInt!D13*100/([14]SopäInt!D13+[14]SopäFö!D14),0)</f>
        <v>29.307116104868914</v>
      </c>
      <c r="J14" s="110">
        <f>(D14+[14]SopäInt!D13)*100/$J$4</f>
        <v>0.61135121211253896</v>
      </c>
      <c r="K14" s="118">
        <f t="shared" si="0"/>
        <v>0.43218180257019378</v>
      </c>
    </row>
    <row r="15" spans="1:11" ht="24.75" customHeight="1">
      <c r="A15" s="52"/>
      <c r="B15" s="46" t="s">
        <v>17</v>
      </c>
      <c r="C15" s="46"/>
      <c r="D15" s="8">
        <f>[14]SopäFö!D15</f>
        <v>3459</v>
      </c>
      <c r="E15" s="7">
        <f>[14]SopäFö!E15</f>
        <v>124</v>
      </c>
      <c r="F15" s="89"/>
      <c r="G15" s="80"/>
      <c r="H15" s="109">
        <f>IFERROR(D15*100/(D15+[14]SopäInt!D14),0)</f>
        <v>96.539212950041858</v>
      </c>
      <c r="I15" s="106">
        <f>IFERROR([14]SopäInt!D14*100/([14]SopäInt!D14+[14]SopäFö!D15),0)</f>
        <v>3.4607870499581357</v>
      </c>
      <c r="J15" s="109">
        <f>(D15+[14]SopäInt!D14)*100/$J$4</f>
        <v>2.0510031769655686</v>
      </c>
      <c r="K15" s="116">
        <f t="shared" si="0"/>
        <v>1.9800223246229143</v>
      </c>
    </row>
    <row r="16" spans="1:11" ht="24.75" customHeight="1">
      <c r="A16" s="40"/>
      <c r="B16" s="41" t="s">
        <v>18</v>
      </c>
      <c r="C16" s="41"/>
      <c r="D16" s="42">
        <f>[14]SopäFö!D16</f>
        <v>1370</v>
      </c>
      <c r="E16" s="87">
        <f>[14]SopäFö!E16</f>
        <v>3</v>
      </c>
      <c r="F16" s="89"/>
      <c r="G16" s="80"/>
      <c r="H16" s="110">
        <f>IFERROR(D16*100/(D16+[14]SopäInt!D15),0)</f>
        <v>41.87041564792176</v>
      </c>
      <c r="I16" s="111">
        <f>IFERROR([14]SopäInt!D15*100/([14]SopäInt!D15+[14]SopäFö!D16),0)</f>
        <v>58.12958435207824</v>
      </c>
      <c r="J16" s="110">
        <f>(D16+[14]SopäInt!D15)*100/$J$4</f>
        <v>1.8729786198803628</v>
      </c>
      <c r="K16" s="118">
        <f t="shared" si="0"/>
        <v>0.78422393314061656</v>
      </c>
    </row>
    <row r="17" spans="1:11" ht="24.75" customHeight="1">
      <c r="A17" s="45"/>
      <c r="B17" s="46" t="s">
        <v>19</v>
      </c>
      <c r="C17" s="46"/>
      <c r="D17" s="8">
        <f>[14]SopäFö!D17</f>
        <v>0</v>
      </c>
      <c r="E17" s="7">
        <f>[14]SopäFö!E17</f>
        <v>0</v>
      </c>
      <c r="F17" s="89"/>
      <c r="G17" s="80"/>
      <c r="H17" s="109">
        <f>IFERROR(D17*100/(D17+[14]SopäInt!D16),0)</f>
        <v>0</v>
      </c>
      <c r="I17" s="106">
        <f>IFERROR([14]SopäInt!D16*100/([14]SopäInt!D16+[14]SopäFö!D17),0)</f>
        <v>0</v>
      </c>
      <c r="J17" s="109">
        <f>(D17+[14]SopäInt!D16)*100/$J$4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[14]SopäFö!D18</f>
        <v>0</v>
      </c>
      <c r="E18" s="87">
        <f>[14]SopäFö!E18</f>
        <v>0</v>
      </c>
      <c r="F18" s="89"/>
      <c r="G18" s="80"/>
      <c r="H18" s="110">
        <f>IFERROR(D18*100/(D18+[14]SopäInt!D17),0)</f>
        <v>0</v>
      </c>
      <c r="I18" s="111">
        <f>IFERROR([14]SopäInt!D17*100/([14]SopäInt!D17+[14]SopäFö!D18),0)</f>
        <v>0</v>
      </c>
      <c r="J18" s="110">
        <f>(D18+[14]SopäInt!D17)*100/$J$4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[14]SopäFö!D19</f>
        <v>0</v>
      </c>
      <c r="E19" s="7">
        <f>[14]SopäFö!E19</f>
        <v>0</v>
      </c>
      <c r="F19" s="89"/>
      <c r="G19" s="80"/>
      <c r="H19" s="109">
        <f>IFERROR(D19*100/(D19+[14]SopäInt!D18),0)</f>
        <v>0</v>
      </c>
      <c r="I19" s="106">
        <f>IFERROR([14]SopäInt!D18*100/([14]SopäInt!D18+[14]SopäFö!D19),0)</f>
        <v>100</v>
      </c>
      <c r="J19" s="109">
        <f>(D19+[14]SopäInt!D18)*100/$J$4</f>
        <v>8.4146655599759576E-2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[14]SopäFö!D20</f>
        <v>0</v>
      </c>
      <c r="E20" s="96">
        <f>[14]SopäFö!E20</f>
        <v>0</v>
      </c>
      <c r="F20" s="33">
        <f>[14]SKL!E43</f>
        <v>0</v>
      </c>
      <c r="G20" s="78">
        <f>[14]SKL!F43</f>
        <v>0</v>
      </c>
      <c r="H20" s="112">
        <f>IFERROR(D20*100/(D20+[14]SopäInt!D19),0)</f>
        <v>0</v>
      </c>
      <c r="I20" s="113">
        <f>IFERROR([14]SopäInt!D19*100/([14]SopäInt!D19+[14]SopäFö!D20),0)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showWhiteSpace="0" view="pageLayout" zoomScaleNormal="100" workbookViewId="0">
      <selection activeCell="D10" sqref="D10:H10"/>
    </sheetView>
  </sheetViews>
  <sheetFormatPr baseColWidth="10" defaultColWidth="12" defaultRowHeight="12.75"/>
  <cols>
    <col min="1" max="1" width="12" style="17"/>
    <col min="2" max="2" width="2" style="17" customWidth="1"/>
    <col min="3" max="3" width="14.1640625" style="17" customWidth="1"/>
    <col min="4" max="4" width="9.1640625" style="17" customWidth="1"/>
    <col min="5" max="7" width="12" style="17"/>
    <col min="8" max="8" width="10.33203125" style="17" customWidth="1"/>
    <col min="9" max="16384" width="12" style="13"/>
  </cols>
  <sheetData>
    <row r="1" spans="1:8">
      <c r="A1" s="134" t="s">
        <v>70</v>
      </c>
      <c r="B1" s="135"/>
      <c r="C1" s="135"/>
      <c r="D1" s="135"/>
      <c r="E1" s="135"/>
      <c r="F1" s="135"/>
      <c r="G1" s="135"/>
      <c r="H1" s="135"/>
    </row>
    <row r="2" spans="1:8">
      <c r="A2" s="135"/>
      <c r="B2" s="135"/>
      <c r="C2" s="135"/>
      <c r="D2" s="135"/>
      <c r="E2" s="135"/>
      <c r="F2" s="135"/>
      <c r="G2" s="135"/>
      <c r="H2" s="135"/>
    </row>
    <row r="3" spans="1:8">
      <c r="A3" s="135"/>
      <c r="B3" s="135"/>
      <c r="C3" s="135"/>
      <c r="D3" s="135"/>
      <c r="E3" s="135"/>
      <c r="F3" s="135"/>
      <c r="G3" s="135"/>
      <c r="H3" s="135"/>
    </row>
    <row r="4" spans="1:8">
      <c r="A4" s="135"/>
      <c r="B4" s="135"/>
      <c r="C4" s="135"/>
      <c r="D4" s="135"/>
      <c r="E4" s="135"/>
      <c r="F4" s="135"/>
      <c r="G4" s="135"/>
      <c r="H4" s="135"/>
    </row>
    <row r="5" spans="1:8" ht="6" customHeight="1">
      <c r="A5" s="135"/>
      <c r="B5" s="135"/>
      <c r="C5" s="135"/>
      <c r="D5" s="135"/>
      <c r="E5" s="135"/>
      <c r="F5" s="135"/>
      <c r="G5" s="135"/>
      <c r="H5" s="135"/>
    </row>
    <row r="6" spans="1:8" ht="12.75" hidden="1" customHeight="1">
      <c r="A6" s="135"/>
      <c r="B6" s="135"/>
      <c r="C6" s="135"/>
      <c r="D6" s="135"/>
      <c r="E6" s="135"/>
      <c r="F6" s="135"/>
      <c r="G6" s="135"/>
      <c r="H6" s="135"/>
    </row>
    <row r="8" spans="1:8" ht="13.5" thickBot="1">
      <c r="A8" s="136" t="s">
        <v>43</v>
      </c>
      <c r="B8" s="136"/>
      <c r="C8" s="16" t="s">
        <v>44</v>
      </c>
      <c r="D8" s="136" t="s">
        <v>45</v>
      </c>
      <c r="E8" s="136"/>
      <c r="F8" s="136"/>
      <c r="G8" s="136"/>
      <c r="H8" s="136"/>
    </row>
    <row r="10" spans="1:8" s="121" customFormat="1" ht="56.25" customHeight="1">
      <c r="A10" s="120" t="s">
        <v>56</v>
      </c>
      <c r="B10" s="120"/>
      <c r="C10" s="120" t="s">
        <v>80</v>
      </c>
      <c r="D10" s="138" t="s">
        <v>85</v>
      </c>
      <c r="E10" s="138"/>
      <c r="F10" s="138"/>
      <c r="G10" s="138"/>
      <c r="H10" s="138"/>
    </row>
    <row r="12" spans="1:8" ht="45.75" customHeight="1">
      <c r="A12" s="137" t="s">
        <v>46</v>
      </c>
      <c r="B12" s="137"/>
      <c r="C12" s="93" t="s">
        <v>80</v>
      </c>
      <c r="D12" s="133" t="s">
        <v>81</v>
      </c>
      <c r="E12" s="133"/>
      <c r="F12" s="133"/>
      <c r="G12" s="133"/>
      <c r="H12" s="133"/>
    </row>
    <row r="13" spans="1:8" ht="51">
      <c r="A13" s="91"/>
      <c r="B13" s="91"/>
      <c r="C13" s="92" t="s">
        <v>47</v>
      </c>
      <c r="D13" s="133" t="s">
        <v>48</v>
      </c>
      <c r="E13" s="133"/>
      <c r="F13" s="133"/>
      <c r="G13" s="133"/>
      <c r="H13" s="133"/>
    </row>
    <row r="14" spans="1:8">
      <c r="A14" s="91"/>
      <c r="B14" s="91"/>
      <c r="C14" s="92"/>
      <c r="D14" s="133"/>
      <c r="E14" s="133"/>
      <c r="F14" s="133"/>
      <c r="G14" s="133"/>
      <c r="H14" s="133"/>
    </row>
    <row r="15" spans="1:8" ht="38.25">
      <c r="A15" s="137" t="s">
        <v>49</v>
      </c>
      <c r="B15" s="137"/>
      <c r="C15" s="90" t="s">
        <v>50</v>
      </c>
      <c r="D15" s="137" t="s">
        <v>51</v>
      </c>
      <c r="E15" s="137"/>
      <c r="F15" s="137"/>
      <c r="G15" s="137"/>
      <c r="H15" s="137"/>
    </row>
    <row r="16" spans="1:8" ht="63" customHeight="1">
      <c r="A16" s="137"/>
      <c r="B16" s="137"/>
      <c r="C16" s="90"/>
      <c r="D16" s="133" t="s">
        <v>52</v>
      </c>
      <c r="E16" s="133"/>
      <c r="F16" s="133"/>
      <c r="G16" s="133"/>
      <c r="H16" s="133"/>
    </row>
    <row r="17" spans="1:8">
      <c r="A17" s="91"/>
      <c r="B17" s="91"/>
      <c r="C17" s="91"/>
      <c r="D17" s="91"/>
      <c r="E17" s="91"/>
      <c r="F17" s="91"/>
      <c r="G17" s="91"/>
      <c r="H17" s="91"/>
    </row>
    <row r="20" spans="1:8">
      <c r="D20" s="131"/>
      <c r="E20" s="132"/>
      <c r="F20" s="132"/>
      <c r="G20" s="132"/>
      <c r="H20" s="132"/>
    </row>
    <row r="21" spans="1:8" ht="0.75" customHeight="1">
      <c r="D21" s="132"/>
      <c r="E21" s="132"/>
      <c r="F21" s="132"/>
      <c r="G21" s="132"/>
      <c r="H21" s="132"/>
    </row>
    <row r="22" spans="1:8" ht="15" hidden="1" customHeight="1">
      <c r="D22" s="132"/>
      <c r="E22" s="132"/>
      <c r="F22" s="132"/>
      <c r="G22" s="132"/>
      <c r="H22" s="132"/>
    </row>
    <row r="24" spans="1:8">
      <c r="D24" s="131"/>
      <c r="E24" s="132"/>
      <c r="F24" s="132"/>
      <c r="G24" s="132"/>
      <c r="H24" s="132"/>
    </row>
    <row r="25" spans="1:8">
      <c r="D25" s="132"/>
      <c r="E25" s="132"/>
      <c r="F25" s="132"/>
      <c r="G25" s="132"/>
      <c r="H25" s="132"/>
    </row>
    <row r="26" spans="1:8">
      <c r="D26" s="132"/>
      <c r="E26" s="132"/>
      <c r="F26" s="132"/>
      <c r="G26" s="132"/>
      <c r="H26" s="132"/>
    </row>
    <row r="28" spans="1:8">
      <c r="D28" s="132"/>
      <c r="E28" s="132"/>
      <c r="F28" s="132"/>
      <c r="G28" s="132"/>
      <c r="H28" s="132"/>
    </row>
  </sheetData>
  <mergeCells count="14">
    <mergeCell ref="A1:H6"/>
    <mergeCell ref="A8:B8"/>
    <mergeCell ref="D8:H8"/>
    <mergeCell ref="A12:B12"/>
    <mergeCell ref="A15:B16"/>
    <mergeCell ref="D15:H15"/>
    <mergeCell ref="D10:H10"/>
    <mergeCell ref="D20:H22"/>
    <mergeCell ref="D24:H26"/>
    <mergeCell ref="D28:H28"/>
    <mergeCell ref="D12:H12"/>
    <mergeCell ref="D16:H16"/>
    <mergeCell ref="D13:H13"/>
    <mergeCell ref="D14:H14"/>
  </mergeCells>
  <pageMargins left="0.7" right="0.7" top="0.78740157499999996" bottom="0.78740157499999996" header="0.3" footer="0.3"/>
  <pageSetup paperSize="9" orientation="portrait" r:id="rId1"/>
  <headerFooter>
    <oddHeader>&amp;R&amp;"Arial,Standard"Seite &amp;P</oddHeader>
    <oddFooter>&amp;C&amp;"Arial,Standard"&amp;F&amp;R&amp;"Arial,Standard"&amp;A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7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[15]SKL!C2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36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[15]SopäFö!$J$4</f>
        <v>257291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[15]SKL!D40</f>
        <v>5363</v>
      </c>
      <c r="E8" s="83">
        <f>SUM(E9,E10,E20)</f>
        <v>414</v>
      </c>
      <c r="F8" s="83">
        <f>[15]SKL!E40</f>
        <v>587</v>
      </c>
      <c r="G8" s="84">
        <f>[15]SKL!F40</f>
        <v>1102</v>
      </c>
      <c r="H8" s="103">
        <f>IFERROR(D8*100/(D8+[15]SopäInt!D7),0)</f>
        <v>31.3479074117372</v>
      </c>
      <c r="I8" s="104">
        <f>IFERROR([15]SopäInt!D7*100/([15]SopäInt!D7+[15]SopäFö!D8),0)</f>
        <v>68.652092588262803</v>
      </c>
      <c r="J8" s="103">
        <f>(D8-D20+[15]SopäInt!D7-[15]SopäInt!D19)*100/$J$4</f>
        <v>6.6356771126856362</v>
      </c>
      <c r="K8" s="115">
        <f>(D8-D20)*100/$J$4</f>
        <v>2.0844102592006717</v>
      </c>
    </row>
    <row r="9" spans="1:11" ht="24.75" customHeight="1" thickTop="1">
      <c r="A9" s="142" t="s">
        <v>11</v>
      </c>
      <c r="B9" s="143"/>
      <c r="C9" s="143"/>
      <c r="D9" s="23">
        <f>[15]SKL!D41</f>
        <v>1083</v>
      </c>
      <c r="E9" s="7">
        <f>[15]SopäFö!E9</f>
        <v>43</v>
      </c>
      <c r="F9" s="24">
        <f>[15]SKL!E41</f>
        <v>105</v>
      </c>
      <c r="G9" s="79">
        <f>[15]SKL!F41</f>
        <v>198</v>
      </c>
      <c r="H9" s="105">
        <f>IFERROR(D9*100/(D9+[15]SopäInt!D8),0)</f>
        <v>12.912841302015023</v>
      </c>
      <c r="I9" s="106">
        <f>IFERROR([15]SopäInt!D8*100/([15]SopäInt!D8+[15]SopäFö!D9),0)</f>
        <v>87.087158697984975</v>
      </c>
      <c r="J9" s="105">
        <f>(D9+[15]SopäInt!D8)*100/$J$4</f>
        <v>3.2597331426283858</v>
      </c>
      <c r="K9" s="116">
        <f>D9*100/$J$4</f>
        <v>0.42092416757679046</v>
      </c>
    </row>
    <row r="10" spans="1:11" ht="24.75" customHeight="1">
      <c r="A10" s="144" t="s">
        <v>12</v>
      </c>
      <c r="B10" s="145"/>
      <c r="C10" s="146"/>
      <c r="D10" s="22">
        <f>SUM(D11:D19)</f>
        <v>4280</v>
      </c>
      <c r="E10" s="33">
        <f>SUM(E11:E19)</f>
        <v>371</v>
      </c>
      <c r="F10" s="33">
        <f>[15]SKL!E42</f>
        <v>482</v>
      </c>
      <c r="G10" s="78">
        <f>[15]SKL!F42</f>
        <v>904</v>
      </c>
      <c r="H10" s="107">
        <f>IFERROR(D10*100/(D10+[15]SopäInt!D9),0)</f>
        <v>49.274694911351602</v>
      </c>
      <c r="I10" s="108">
        <f>IFERROR([15]SopäInt!D9*100/([15]SopäInt!D9+[15]SopäFö!D10),0)</f>
        <v>50.725305088648398</v>
      </c>
      <c r="J10" s="107">
        <f>(D10+[15]SopäInt!D9)*100/$J$4</f>
        <v>3.3759439700572504</v>
      </c>
      <c r="K10" s="117">
        <f t="shared" ref="K10:K19" si="0">D10*100/$J$4</f>
        <v>1.6634860916238812</v>
      </c>
    </row>
    <row r="11" spans="1:11" ht="24.75" customHeight="1">
      <c r="A11" s="36"/>
      <c r="B11" s="36" t="s">
        <v>13</v>
      </c>
      <c r="C11" s="85"/>
      <c r="D11" s="8">
        <f>[15]SopäFö!D11</f>
        <v>0</v>
      </c>
      <c r="E11" s="7">
        <f>[15]SopäFö!E11</f>
        <v>0</v>
      </c>
      <c r="F11" s="88"/>
      <c r="G11" s="80"/>
      <c r="H11" s="109">
        <f>IFERROR(D11*100/(D11+[15]SopäInt!D10),0)</f>
        <v>0</v>
      </c>
      <c r="I11" s="106">
        <f>IFERROR([15]SopäInt!D10*100/([15]SopäInt!D10+[15]SopäFö!D11),0)</f>
        <v>100</v>
      </c>
      <c r="J11" s="109">
        <f>(D11+[15]SopäInt!D10)*100/$J$4</f>
        <v>8.6283624378621873E-2</v>
      </c>
      <c r="K11" s="116">
        <f t="shared" si="0"/>
        <v>0</v>
      </c>
    </row>
    <row r="12" spans="1:11" ht="24.75" customHeight="1">
      <c r="A12" s="40"/>
      <c r="B12" s="41" t="s">
        <v>14</v>
      </c>
      <c r="C12" s="41"/>
      <c r="D12" s="42">
        <f>[15]SopäFö!D12</f>
        <v>162</v>
      </c>
      <c r="E12" s="87">
        <f>[15]SopäFö!E12</f>
        <v>28</v>
      </c>
      <c r="F12" s="89"/>
      <c r="G12" s="80"/>
      <c r="H12" s="110">
        <f>IFERROR(D12*100/(D12+[15]SopäInt!D11),0)</f>
        <v>30.223880597014926</v>
      </c>
      <c r="I12" s="111">
        <f>IFERROR([15]SopäInt!D11*100/([15]SopäInt!D11+[15]SopäFö!D12),0)</f>
        <v>69.776119402985074</v>
      </c>
      <c r="J12" s="110">
        <f>(D12+[15]SopäInt!D11)*100/$J$4</f>
        <v>0.20832442642766361</v>
      </c>
      <c r="K12" s="118">
        <f t="shared" si="0"/>
        <v>6.2963725897913256E-2</v>
      </c>
    </row>
    <row r="13" spans="1:11" ht="24.75" customHeight="1">
      <c r="A13" s="45"/>
      <c r="B13" s="46" t="s">
        <v>15</v>
      </c>
      <c r="C13" s="86"/>
      <c r="D13" s="8">
        <f>[15]SopäFö!D13</f>
        <v>51</v>
      </c>
      <c r="E13" s="7">
        <f>[15]SopäFö!E13</f>
        <v>4</v>
      </c>
      <c r="F13" s="89"/>
      <c r="G13" s="80"/>
      <c r="H13" s="109">
        <f>IFERROR(D13*100/(D13+[15]SopäInt!D12),0)</f>
        <v>5.9440559440559442</v>
      </c>
      <c r="I13" s="106">
        <f>IFERROR([15]SopäInt!D12*100/([15]SopäInt!D12+[15]SopäFö!D13),0)</f>
        <v>94.055944055944053</v>
      </c>
      <c r="J13" s="109">
        <f>(D13+[15]SopäInt!D12)*100/$J$4</f>
        <v>0.3334745482741332</v>
      </c>
      <c r="K13" s="116">
        <f t="shared" si="0"/>
        <v>1.9821913708602323E-2</v>
      </c>
    </row>
    <row r="14" spans="1:11" ht="24.75" customHeight="1">
      <c r="A14" s="50"/>
      <c r="B14" s="41" t="s">
        <v>16</v>
      </c>
      <c r="C14" s="51"/>
      <c r="D14" s="42">
        <f>[15]SopäFö!D14</f>
        <v>371</v>
      </c>
      <c r="E14" s="87">
        <f>[15]SopäFö!E14</f>
        <v>27</v>
      </c>
      <c r="F14" s="89"/>
      <c r="G14" s="80"/>
      <c r="H14" s="110">
        <f>IFERROR(D14*100/(D14+[15]SopäInt!D13),0)</f>
        <v>34.640522875816991</v>
      </c>
      <c r="I14" s="111">
        <f>IFERROR([15]SopäInt!D13*100/([15]SopäInt!D13+[15]SopäFö!D14),0)</f>
        <v>65.359477124183002</v>
      </c>
      <c r="J14" s="110">
        <f>(D14+[15]SopäInt!D13)*100/$J$4</f>
        <v>0.41626018788064878</v>
      </c>
      <c r="K14" s="118">
        <f t="shared" si="0"/>
        <v>0.14419470560571493</v>
      </c>
    </row>
    <row r="15" spans="1:11" ht="24.75" customHeight="1">
      <c r="A15" s="52"/>
      <c r="B15" s="46" t="s">
        <v>17</v>
      </c>
      <c r="C15" s="46"/>
      <c r="D15" s="8">
        <f>[15]SopäFö!D15</f>
        <v>3558</v>
      </c>
      <c r="E15" s="7">
        <f>[15]SopäFö!E15</f>
        <v>311</v>
      </c>
      <c r="F15" s="89"/>
      <c r="G15" s="80"/>
      <c r="H15" s="109">
        <f>IFERROR(D15*100/(D15+[15]SopäInt!D14),0)</f>
        <v>85.221556886227546</v>
      </c>
      <c r="I15" s="106">
        <f>IFERROR([15]SopäInt!D14*100/([15]SopäInt!D14+[15]SopäFö!D15),0)</f>
        <v>14.778443113772456</v>
      </c>
      <c r="J15" s="109">
        <f>(D15+[15]SopäInt!D14)*100/$J$4</f>
        <v>1.6226762692826411</v>
      </c>
      <c r="K15" s="116">
        <f t="shared" si="0"/>
        <v>1.3828699799060209</v>
      </c>
    </row>
    <row r="16" spans="1:11" ht="24.75" customHeight="1">
      <c r="A16" s="40"/>
      <c r="B16" s="41" t="s">
        <v>18</v>
      </c>
      <c r="C16" s="41"/>
      <c r="D16" s="42">
        <f>[15]SopäFö!D16</f>
        <v>138</v>
      </c>
      <c r="E16" s="87">
        <f>[15]SopäFö!E16</f>
        <v>1</v>
      </c>
      <c r="F16" s="89"/>
      <c r="G16" s="80"/>
      <c r="H16" s="110">
        <f>IFERROR(D16*100/(D16+[15]SopäInt!D15),0)</f>
        <v>13.555992141453832</v>
      </c>
      <c r="I16" s="111">
        <f>IFERROR([15]SopäInt!D15*100/([15]SopäInt!D15+[15]SopäFö!D16),0)</f>
        <v>86.444007858546172</v>
      </c>
      <c r="J16" s="110">
        <f>(D16+[15]SopäInt!D15)*100/$J$4</f>
        <v>0.39566094422268949</v>
      </c>
      <c r="K16" s="118">
        <f t="shared" si="0"/>
        <v>5.363576650562981E-2</v>
      </c>
    </row>
    <row r="17" spans="1:11" ht="24.75" customHeight="1">
      <c r="A17" s="45"/>
      <c r="B17" s="46" t="s">
        <v>19</v>
      </c>
      <c r="C17" s="46"/>
      <c r="D17" s="8">
        <f>[15]SopäFö!D17</f>
        <v>0</v>
      </c>
      <c r="E17" s="7">
        <f>[15]SopäFö!E17</f>
        <v>0</v>
      </c>
      <c r="F17" s="89"/>
      <c r="G17" s="80"/>
      <c r="H17" s="109">
        <f>IFERROR(D17*100/(D17+[15]SopäInt!D16),0)</f>
        <v>0</v>
      </c>
      <c r="I17" s="106">
        <f>IFERROR([15]SopäInt!D16*100/([15]SopäInt!D16+[15]SopäFö!D17),0)</f>
        <v>100</v>
      </c>
      <c r="J17" s="109">
        <f>(D17+[15]SopäInt!D16)*100/$J$4</f>
        <v>0.3132639695908524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[15]SopäFö!D18</f>
        <v>0</v>
      </c>
      <c r="E18" s="87">
        <f>[15]SopäFö!E18</f>
        <v>0</v>
      </c>
      <c r="F18" s="89"/>
      <c r="G18" s="80"/>
      <c r="H18" s="110">
        <f>IFERROR(D18*100/(D18+[15]SopäInt!D17),0)</f>
        <v>0</v>
      </c>
      <c r="I18" s="111">
        <f>IFERROR([15]SopäInt!D17*100/([15]SopäInt!D17+[15]SopäFö!D18),0)</f>
        <v>0</v>
      </c>
      <c r="J18" s="110">
        <f>(D18+[15]SopäInt!D17)*100/$J$4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[15]SopäFö!D19</f>
        <v>0</v>
      </c>
      <c r="E19" s="7">
        <f>[15]SopäFö!E19</f>
        <v>0</v>
      </c>
      <c r="F19" s="89"/>
      <c r="G19" s="80"/>
      <c r="H19" s="109">
        <f>IFERROR(D19*100/(D19+[15]SopäInt!D18),0)</f>
        <v>0</v>
      </c>
      <c r="I19" s="106">
        <f>IFERROR([15]SopäInt!D18*100/([15]SopäInt!D18+[15]SopäFö!D19),0)</f>
        <v>0</v>
      </c>
      <c r="J19" s="109">
        <f>(D19+[15]SopäInt!D18)*100/$J$4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[15]SopäFö!D20</f>
        <v>0</v>
      </c>
      <c r="E20" s="96">
        <f>[15]SopäFö!E20</f>
        <v>0</v>
      </c>
      <c r="F20" s="33">
        <f>[15]SKL!E43</f>
        <v>0</v>
      </c>
      <c r="G20" s="78">
        <f>[15]SKL!F43</f>
        <v>0</v>
      </c>
      <c r="H20" s="112">
        <f>IFERROR(D20*100/(D20+[15]SopäInt!D19),0)</f>
        <v>0</v>
      </c>
      <c r="I20" s="113">
        <f>IFERROR([15]SopäInt!D19*100/([15]SopäInt!D19+[15]SopäFö!D20),0)</f>
        <v>100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8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0" width="0" style="1" hidden="1" customWidth="1"/>
    <col min="11" max="11" width="11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[16]SKL!C2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37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[16]SopäFö!$J$4</f>
        <v>172690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25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[16]SKL!D40</f>
        <v>6560</v>
      </c>
      <c r="E8" s="83">
        <f>SUM(E9,E10,E20)</f>
        <v>177</v>
      </c>
      <c r="F8" s="83">
        <f>[16]SKL!E40</f>
        <v>733</v>
      </c>
      <c r="G8" s="84">
        <f>[16]SKL!F40</f>
        <v>1178</v>
      </c>
      <c r="H8" s="103">
        <f>IFERROR(D8*100/(D8+[16]SopäInt!D7),0)</f>
        <v>57.96589202085358</v>
      </c>
      <c r="I8" s="104">
        <f>IFERROR([16]SopäInt!D7*100/([16]SopäInt!D7+[16]SopäFö!D8),0)</f>
        <v>42.03410797914642</v>
      </c>
      <c r="J8" s="103">
        <f>(D8-D20+[16]SopäInt!D7-[16]SopäInt!D19)*100/$J$4</f>
        <v>6.5533615148532052</v>
      </c>
      <c r="K8" s="115">
        <f>(D8-D20)*100/$J$4</f>
        <v>3.7987144594359834</v>
      </c>
    </row>
    <row r="9" spans="1:11" ht="24.75" customHeight="1" thickTop="1">
      <c r="A9" s="142" t="s">
        <v>11</v>
      </c>
      <c r="B9" s="143"/>
      <c r="C9" s="143"/>
      <c r="D9" s="23">
        <f>[16]SKL!D41</f>
        <v>2399</v>
      </c>
      <c r="E9" s="7">
        <f>[16]SopäFö!E9</f>
        <v>33</v>
      </c>
      <c r="F9" s="24">
        <f>[16]SKL!E41</f>
        <v>260</v>
      </c>
      <c r="G9" s="79">
        <f>[16]SKL!F41</f>
        <v>0</v>
      </c>
      <c r="H9" s="105">
        <f>IFERROR(D9*100/(D9+[16]SopäInt!D8),0)</f>
        <v>57.378617555608706</v>
      </c>
      <c r="I9" s="106">
        <f>IFERROR([16]SopäInt!D8*100/([16]SopäInt!D8+[16]SopäFö!D9),0)</f>
        <v>42.621382444391294</v>
      </c>
      <c r="J9" s="105">
        <f>(D9+[16]SopäInt!D8)*100/$J$4</f>
        <v>2.4211013955643059</v>
      </c>
      <c r="K9" s="116">
        <f>D9*100/$J$4</f>
        <v>1.3891945103943482</v>
      </c>
    </row>
    <row r="10" spans="1:11" ht="24.75" customHeight="1">
      <c r="A10" s="144" t="s">
        <v>12</v>
      </c>
      <c r="B10" s="145"/>
      <c r="C10" s="146"/>
      <c r="D10" s="22">
        <f>SUM(D11:D19)</f>
        <v>4161</v>
      </c>
      <c r="E10" s="33">
        <f>SUM(E11:E19)</f>
        <v>144</v>
      </c>
      <c r="F10" s="33">
        <f>[16]SKL!E42</f>
        <v>473</v>
      </c>
      <c r="G10" s="78">
        <v>0</v>
      </c>
      <c r="H10" s="107">
        <f>IFERROR(D10*100/(D10+[16]SopäInt!D9),0)</f>
        <v>58.309977578475333</v>
      </c>
      <c r="I10" s="108">
        <f>IFERROR([16]SopäInt!D9*100/([16]SopäInt!D9+[16]SopäFö!D10),0)</f>
        <v>41.690022421524667</v>
      </c>
      <c r="J10" s="107">
        <f>(D10+[16]SopäInt!D9)*100/$J$4</f>
        <v>4.1322601192888992</v>
      </c>
      <c r="K10" s="117">
        <f t="shared" ref="K10:K19" si="0">D10*100/$J$4</f>
        <v>2.4095199490416355</v>
      </c>
    </row>
    <row r="11" spans="1:11" ht="24.75" customHeight="1">
      <c r="A11" s="36"/>
      <c r="B11" s="36" t="s">
        <v>13</v>
      </c>
      <c r="C11" s="85"/>
      <c r="D11" s="8">
        <f>[16]SopäFö!D11</f>
        <v>69</v>
      </c>
      <c r="E11" s="7">
        <f>[16]SopäFö!E11</f>
        <v>5</v>
      </c>
      <c r="F11" s="88"/>
      <c r="G11" s="80"/>
      <c r="H11" s="109">
        <f>IFERROR(D11*100/(D11+[16]SopäInt!D10),0)</f>
        <v>34.158415841584159</v>
      </c>
      <c r="I11" s="106">
        <f>IFERROR([16]SopäInt!D10*100/([16]SopäInt!D10+[16]SopäFö!D11),0)</f>
        <v>65.841584158415841</v>
      </c>
      <c r="J11" s="109">
        <f>(D11+[16]SopäInt!D10)*100/$J$4</f>
        <v>0.11697260987897388</v>
      </c>
      <c r="K11" s="116">
        <f t="shared" si="0"/>
        <v>3.9955990503213849E-2</v>
      </c>
    </row>
    <row r="12" spans="1:11" ht="24.75" customHeight="1">
      <c r="A12" s="40"/>
      <c r="B12" s="41" t="s">
        <v>14</v>
      </c>
      <c r="C12" s="41"/>
      <c r="D12" s="42">
        <f>[16]SopäFö!D12</f>
        <v>99</v>
      </c>
      <c r="E12" s="87">
        <f>[16]SopäFö!E12</f>
        <v>9</v>
      </c>
      <c r="F12" s="89"/>
      <c r="G12" s="80"/>
      <c r="H12" s="110">
        <f>IFERROR(D12*100/(D12+[16]SopäInt!D11),0)</f>
        <v>29.376854599406528</v>
      </c>
      <c r="I12" s="111">
        <f>IFERROR([16]SopäInt!D11*100/([16]SopäInt!D11+[16]SopäFö!D12),0)</f>
        <v>70.623145400593472</v>
      </c>
      <c r="J12" s="110">
        <f>(D12+[16]SopäInt!D11)*100/$J$4</f>
        <v>0.19514737390700099</v>
      </c>
      <c r="K12" s="118">
        <f t="shared" si="0"/>
        <v>5.7328160287219876E-2</v>
      </c>
    </row>
    <row r="13" spans="1:11" ht="24.75" customHeight="1">
      <c r="A13" s="45"/>
      <c r="B13" s="46" t="s">
        <v>15</v>
      </c>
      <c r="C13" s="86"/>
      <c r="D13" s="8">
        <f>[16]SopäFö!D13</f>
        <v>399</v>
      </c>
      <c r="E13" s="7">
        <f>[16]SopäFö!E13</f>
        <v>2</v>
      </c>
      <c r="F13" s="89"/>
      <c r="G13" s="80"/>
      <c r="H13" s="109">
        <f>IFERROR(D13*100/(D13+[16]SopäInt!D12),0)</f>
        <v>39.117647058823529</v>
      </c>
      <c r="I13" s="106">
        <f>IFERROR([16]SopäInt!D12*100/([16]SopäInt!D12+[16]SopäFö!D13),0)</f>
        <v>60.882352941176471</v>
      </c>
      <c r="J13" s="109">
        <f>(D13+[16]SopäInt!D12)*100/$J$4</f>
        <v>0.59065377265620478</v>
      </c>
      <c r="K13" s="116">
        <f t="shared" si="0"/>
        <v>0.2310498581272801</v>
      </c>
    </row>
    <row r="14" spans="1:11" ht="24.75" customHeight="1">
      <c r="A14" s="50"/>
      <c r="B14" s="41" t="s">
        <v>16</v>
      </c>
      <c r="C14" s="51"/>
      <c r="D14" s="42">
        <f>[16]SopäFö!D14</f>
        <v>217</v>
      </c>
      <c r="E14" s="87">
        <f>[16]SopäFö!E14</f>
        <v>10</v>
      </c>
      <c r="F14" s="89"/>
      <c r="G14" s="80"/>
      <c r="H14" s="110">
        <f>IFERROR(D14*100/(D14+[16]SopäInt!D13),0)</f>
        <v>34.173228346456696</v>
      </c>
      <c r="I14" s="111">
        <f>IFERROR([16]SopäInt!D13*100/([16]SopäInt!D13+[16]SopäFö!D14),0)</f>
        <v>65.826771653543304</v>
      </c>
      <c r="J14" s="110">
        <f>(D14+[16]SopäInt!D13)*100/$J$4</f>
        <v>0.36771092709479414</v>
      </c>
      <c r="K14" s="118">
        <f t="shared" si="0"/>
        <v>0.12565869477097691</v>
      </c>
    </row>
    <row r="15" spans="1:11" ht="24.75" customHeight="1">
      <c r="A15" s="52"/>
      <c r="B15" s="46" t="s">
        <v>17</v>
      </c>
      <c r="C15" s="46"/>
      <c r="D15" s="8">
        <f>[16]SopäFö!D15</f>
        <v>2713</v>
      </c>
      <c r="E15" s="7">
        <f>[16]SopäFö!E15</f>
        <v>97</v>
      </c>
      <c r="F15" s="89"/>
      <c r="G15" s="80"/>
      <c r="H15" s="109">
        <f>IFERROR(D15*100/(D15+[16]SopäInt!D14),0)</f>
        <v>89.923765329797817</v>
      </c>
      <c r="I15" s="106">
        <f>IFERROR([16]SopäInt!D14*100/([16]SopäInt!D14+[16]SopäFö!D15),0)</f>
        <v>10.076234670202188</v>
      </c>
      <c r="J15" s="109">
        <f>(D15+[16]SopäInt!D14)*100/$J$4</f>
        <v>1.7470612079448724</v>
      </c>
      <c r="K15" s="116">
        <f t="shared" si="0"/>
        <v>1.5710232208002779</v>
      </c>
    </row>
    <row r="16" spans="1:11" ht="24.75" customHeight="1">
      <c r="A16" s="40"/>
      <c r="B16" s="41" t="s">
        <v>18</v>
      </c>
      <c r="C16" s="41"/>
      <c r="D16" s="42">
        <f>[16]SopäFö!D16</f>
        <v>660</v>
      </c>
      <c r="E16" s="87">
        <f>[16]SopäFö!E16</f>
        <v>21</v>
      </c>
      <c r="F16" s="89"/>
      <c r="G16" s="80"/>
      <c r="H16" s="110">
        <f>IFERROR(D16*100/(D16+[16]SopäInt!D15),0)</f>
        <v>34.357105674128057</v>
      </c>
      <c r="I16" s="111">
        <f>IFERROR([16]SopäInt!D15*100/([16]SopäInt!D15+[16]SopäFö!D16),0)</f>
        <v>65.642894325871936</v>
      </c>
      <c r="J16" s="110">
        <f>(D16+[16]SopäInt!D15)*100/$J$4</f>
        <v>1.1123979385025189</v>
      </c>
      <c r="K16" s="118">
        <f t="shared" si="0"/>
        <v>0.38218773524813249</v>
      </c>
    </row>
    <row r="17" spans="1:11" ht="24.75" customHeight="1">
      <c r="A17" s="45"/>
      <c r="B17" s="46" t="s">
        <v>19</v>
      </c>
      <c r="C17" s="46"/>
      <c r="D17" s="8">
        <f>[16]SopäFö!D17</f>
        <v>0</v>
      </c>
      <c r="E17" s="7">
        <f>[16]SopäFö!E17</f>
        <v>0</v>
      </c>
      <c r="F17" s="89"/>
      <c r="G17" s="80"/>
      <c r="H17" s="109">
        <f>IFERROR(D17*100/(D17+[16]SopäInt!D16),0)</f>
        <v>0</v>
      </c>
      <c r="I17" s="106">
        <f>IFERROR([16]SopäInt!D16*100/([16]SopäInt!D16+[16]SopäFö!D17),0)</f>
        <v>0</v>
      </c>
      <c r="J17" s="109">
        <f>(D17+[16]SopäInt!D16)*100/$J$4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[16]SopäFö!D18</f>
        <v>0</v>
      </c>
      <c r="E18" s="87">
        <f>[16]SopäFö!E18</f>
        <v>0</v>
      </c>
      <c r="F18" s="89"/>
      <c r="G18" s="80"/>
      <c r="H18" s="110">
        <f>IFERROR(D18*100/(D18+[16]SopäInt!D17),0)</f>
        <v>0</v>
      </c>
      <c r="I18" s="111">
        <f>IFERROR([16]SopäInt!D17*100/([16]SopäInt!D17+[16]SopäFö!D18),0)</f>
        <v>0</v>
      </c>
      <c r="J18" s="110">
        <f>(D18+[16]SopäInt!D17)*100/$J$4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[16]SopäFö!D19</f>
        <v>4</v>
      </c>
      <c r="E19" s="7">
        <f>[16]SopäFö!E19</f>
        <v>0</v>
      </c>
      <c r="F19" s="89"/>
      <c r="G19" s="80"/>
      <c r="H19" s="109">
        <f>IFERROR(D19*100/(D19+[16]SopäInt!D18),0)</f>
        <v>100</v>
      </c>
      <c r="I19" s="106">
        <f>IFERROR([16]SopäInt!D18*100/([16]SopäInt!D18+[16]SopäFö!D19),0)</f>
        <v>0</v>
      </c>
      <c r="J19" s="109">
        <f>(D19+[16]SopäInt!D18)*100/$J$4</f>
        <v>2.3162893045341362E-3</v>
      </c>
      <c r="K19" s="116">
        <f t="shared" si="0"/>
        <v>2.3162893045341362E-3</v>
      </c>
    </row>
    <row r="20" spans="1:11" ht="24.75" customHeight="1">
      <c r="A20" s="98" t="s">
        <v>82</v>
      </c>
      <c r="B20" s="94"/>
      <c r="C20" s="94"/>
      <c r="D20" s="95">
        <f>[16]SopäFö!D20</f>
        <v>0</v>
      </c>
      <c r="E20" s="96">
        <f>[16]SopäFö!E20</f>
        <v>0</v>
      </c>
      <c r="F20" s="33">
        <f>[16]SKL!E43</f>
        <v>0</v>
      </c>
      <c r="G20" s="78">
        <v>0</v>
      </c>
      <c r="H20" s="112">
        <f>IFERROR(D20*100/(D20+[16]SopäInt!D19),0)</f>
        <v>0</v>
      </c>
      <c r="I20" s="113">
        <f>IFERROR([16]SopäInt!D19*100/([16]SopäInt!D19+[16]SopäFö!D20),0)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8"/>
  <sheetViews>
    <sheetView view="pageBreakPreview" topLeftCell="A10" zoomScaleNormal="100" zoomScaleSheetLayoutView="100" workbookViewId="0">
      <selection activeCell="H9" sqref="H9"/>
    </sheetView>
  </sheetViews>
  <sheetFormatPr baseColWidth="10" defaultRowHeight="12.75"/>
  <cols>
    <col min="2" max="2" width="34" customWidth="1"/>
    <col min="4" max="4" width="6.5" customWidth="1"/>
    <col min="6" max="6" width="8.1640625" customWidth="1"/>
  </cols>
  <sheetData>
    <row r="2" spans="1:2" ht="15">
      <c r="A2" s="18" t="s">
        <v>53</v>
      </c>
      <c r="B2" s="19"/>
    </row>
    <row r="3" spans="1:2" ht="9" customHeight="1">
      <c r="A3" s="19"/>
      <c r="B3" s="19"/>
    </row>
    <row r="4" spans="1:2" ht="18" customHeight="1">
      <c r="A4" s="19" t="s">
        <v>38</v>
      </c>
      <c r="B4" s="19" t="s">
        <v>54</v>
      </c>
    </row>
    <row r="5" spans="1:2" ht="18" customHeight="1">
      <c r="A5" s="19" t="s">
        <v>22</v>
      </c>
      <c r="B5" s="19" t="s">
        <v>55</v>
      </c>
    </row>
    <row r="6" spans="1:2" ht="18" customHeight="1">
      <c r="A6" s="19" t="s">
        <v>23</v>
      </c>
      <c r="B6" s="19" t="s">
        <v>56</v>
      </c>
    </row>
    <row r="7" spans="1:2" ht="18" customHeight="1">
      <c r="A7" s="19" t="s">
        <v>24</v>
      </c>
      <c r="B7" s="19" t="s">
        <v>57</v>
      </c>
    </row>
    <row r="8" spans="1:2" ht="18" customHeight="1">
      <c r="A8" s="19" t="s">
        <v>25</v>
      </c>
      <c r="B8" s="19" t="s">
        <v>58</v>
      </c>
    </row>
    <row r="9" spans="1:2" ht="18" customHeight="1">
      <c r="A9" s="19" t="s">
        <v>26</v>
      </c>
      <c r="B9" s="19" t="s">
        <v>59</v>
      </c>
    </row>
    <row r="10" spans="1:2" ht="18" customHeight="1">
      <c r="A10" s="19" t="s">
        <v>27</v>
      </c>
      <c r="B10" s="19" t="s">
        <v>46</v>
      </c>
    </row>
    <row r="11" spans="1:2" ht="18" customHeight="1">
      <c r="A11" s="19" t="s">
        <v>28</v>
      </c>
      <c r="B11" s="19" t="s">
        <v>60</v>
      </c>
    </row>
    <row r="12" spans="1:2" ht="18" customHeight="1">
      <c r="A12" s="19" t="s">
        <v>29</v>
      </c>
      <c r="B12" s="19" t="s">
        <v>61</v>
      </c>
    </row>
    <row r="13" spans="1:2" ht="18" customHeight="1">
      <c r="A13" s="19" t="s">
        <v>30</v>
      </c>
      <c r="B13" s="19" t="s">
        <v>62</v>
      </c>
    </row>
    <row r="14" spans="1:2" ht="18" customHeight="1">
      <c r="A14" s="19" t="s">
        <v>31</v>
      </c>
      <c r="B14" s="19" t="s">
        <v>63</v>
      </c>
    </row>
    <row r="15" spans="1:2" ht="18" customHeight="1">
      <c r="A15" s="19" t="s">
        <v>32</v>
      </c>
      <c r="B15" s="19" t="s">
        <v>64</v>
      </c>
    </row>
    <row r="16" spans="1:2" ht="18" customHeight="1">
      <c r="A16" s="19" t="s">
        <v>33</v>
      </c>
      <c r="B16" s="19" t="s">
        <v>65</v>
      </c>
    </row>
    <row r="17" spans="1:7" ht="18" customHeight="1">
      <c r="A17" s="19" t="s">
        <v>34</v>
      </c>
      <c r="B17" s="19" t="s">
        <v>49</v>
      </c>
    </row>
    <row r="18" spans="1:7" ht="18" customHeight="1">
      <c r="A18" s="19" t="s">
        <v>35</v>
      </c>
      <c r="B18" s="19" t="s">
        <v>66</v>
      </c>
    </row>
    <row r="19" spans="1:7" ht="18" customHeight="1">
      <c r="A19" s="19" t="s">
        <v>36</v>
      </c>
      <c r="B19" s="19" t="s">
        <v>67</v>
      </c>
    </row>
    <row r="20" spans="1:7" ht="18" customHeight="1">
      <c r="A20" s="19" t="s">
        <v>37</v>
      </c>
      <c r="B20" s="19" t="s">
        <v>68</v>
      </c>
    </row>
    <row r="22" spans="1:7" ht="15.75">
      <c r="A22" s="20" t="s">
        <v>69</v>
      </c>
    </row>
    <row r="24" spans="1:7" ht="12.75" customHeight="1">
      <c r="A24" s="139" t="s">
        <v>86</v>
      </c>
      <c r="B24" s="139"/>
      <c r="C24" s="139"/>
      <c r="D24" s="139"/>
      <c r="E24" s="139"/>
      <c r="F24" s="139"/>
      <c r="G24" s="139"/>
    </row>
    <row r="25" spans="1:7" ht="12.75" customHeight="1">
      <c r="A25" s="139"/>
      <c r="B25" s="139"/>
      <c r="C25" s="139"/>
      <c r="D25" s="139"/>
      <c r="E25" s="139"/>
      <c r="F25" s="139"/>
      <c r="G25" s="139"/>
    </row>
    <row r="26" spans="1:7" ht="12.75" customHeight="1">
      <c r="A26" s="139"/>
      <c r="B26" s="139"/>
      <c r="C26" s="139"/>
      <c r="D26" s="139"/>
      <c r="E26" s="139"/>
      <c r="F26" s="139"/>
      <c r="G26" s="139"/>
    </row>
    <row r="27" spans="1:7" ht="12.75" customHeight="1">
      <c r="A27" s="139"/>
      <c r="B27" s="139"/>
      <c r="C27" s="139"/>
      <c r="D27" s="139"/>
      <c r="E27" s="139"/>
      <c r="F27" s="139"/>
      <c r="G27" s="139"/>
    </row>
    <row r="28" spans="1:7" ht="247.5" customHeight="1">
      <c r="A28" s="139"/>
      <c r="B28" s="139"/>
      <c r="C28" s="139"/>
      <c r="D28" s="139"/>
      <c r="E28" s="139"/>
      <c r="F28" s="139"/>
      <c r="G28" s="139"/>
    </row>
  </sheetData>
  <mergeCells count="1">
    <mergeCell ref="A24:G28"/>
  </mergeCells>
  <pageMargins left="0.7" right="0.7" top="0.78740157499999996" bottom="0.78740157499999996" header="0.3" footer="0.3"/>
  <pageSetup paperSize="9" orientation="portrait" r:id="rId1"/>
  <headerFooter>
    <oddHeader>&amp;R&amp;"Arial,Standard"Seite &amp;P</oddHeader>
    <oddFooter>&amp;C&amp;"Arial,Standard"&amp;F&amp;R&amp;"Arial,Standard"&amp;A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9"/>
  <dimension ref="A1:G93"/>
  <sheetViews>
    <sheetView zoomScaleNormal="100" workbookViewId="0">
      <selection activeCell="A22" sqref="A22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6384" width="12" style="1"/>
  </cols>
  <sheetData>
    <row r="1" spans="1:7" ht="30" customHeight="1">
      <c r="A1" s="149" t="s">
        <v>0</v>
      </c>
      <c r="B1" s="150"/>
      <c r="C1" s="151"/>
      <c r="D1" s="152"/>
      <c r="E1" s="153"/>
      <c r="F1" s="153"/>
      <c r="G1" s="154"/>
    </row>
    <row r="2" spans="1:7" ht="16.5" customHeight="1">
      <c r="A2" s="161" t="s">
        <v>1</v>
      </c>
      <c r="B2" s="162"/>
      <c r="C2" s="81" t="str">
        <f>[1]SKL!C2</f>
        <v>2017/18</v>
      </c>
      <c r="D2" s="155"/>
      <c r="E2" s="156"/>
      <c r="F2" s="156"/>
      <c r="G2" s="157"/>
    </row>
    <row r="3" spans="1:7" ht="16.5" customHeight="1">
      <c r="A3" s="163" t="s">
        <v>2</v>
      </c>
      <c r="B3" s="164"/>
      <c r="C3" s="81" t="s">
        <v>38</v>
      </c>
      <c r="D3" s="158"/>
      <c r="E3" s="159"/>
      <c r="F3" s="159"/>
      <c r="G3" s="160"/>
    </row>
    <row r="4" spans="1:7" ht="3" customHeight="1">
      <c r="A4" s="2"/>
      <c r="B4" s="3"/>
      <c r="C4" s="3"/>
      <c r="D4" s="3"/>
      <c r="E4" s="3"/>
      <c r="F4" s="3"/>
      <c r="G4" s="4"/>
    </row>
    <row r="5" spans="1:7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</row>
    <row r="6" spans="1:7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</row>
    <row r="7" spans="1:7" ht="19.5" customHeight="1">
      <c r="A7" s="168"/>
      <c r="B7" s="169"/>
      <c r="C7" s="170"/>
      <c r="D7" s="173"/>
      <c r="E7" s="6" t="s">
        <v>9</v>
      </c>
      <c r="F7" s="173"/>
      <c r="G7" s="174"/>
    </row>
    <row r="8" spans="1:7" ht="33" customHeight="1" thickBot="1">
      <c r="A8" s="140" t="s">
        <v>10</v>
      </c>
      <c r="B8" s="141"/>
      <c r="C8" s="141"/>
      <c r="D8" s="82">
        <f>SUM(BW:TH!D8)</f>
        <v>317480</v>
      </c>
      <c r="E8" s="83">
        <f>SUM(BW:TH!E8)</f>
        <v>36188</v>
      </c>
      <c r="F8" s="83">
        <f>SUM(BW:TH!F8)</f>
        <v>33304.83</v>
      </c>
      <c r="G8" s="84">
        <f>SUM(BW:TH!G8)</f>
        <v>60501.495426001296</v>
      </c>
    </row>
    <row r="9" spans="1:7" ht="24.75" customHeight="1" thickTop="1">
      <c r="A9" s="142" t="s">
        <v>11</v>
      </c>
      <c r="B9" s="143"/>
      <c r="C9" s="143"/>
      <c r="D9" s="23">
        <f>SUM(BW:TH!D9)</f>
        <v>86200</v>
      </c>
      <c r="E9" s="7">
        <f>SUM(BW:TH!E9)</f>
        <v>11202</v>
      </c>
      <c r="F9" s="24">
        <f>SUM(BW:TH!F9)</f>
        <v>8270.41</v>
      </c>
      <c r="G9" s="79">
        <f>SUM(BW:TH!G9)</f>
        <v>14117.603449432758</v>
      </c>
    </row>
    <row r="10" spans="1:7" ht="24.75" customHeight="1">
      <c r="A10" s="144" t="s">
        <v>12</v>
      </c>
      <c r="B10" s="145"/>
      <c r="C10" s="146"/>
      <c r="D10" s="22">
        <f>SUM(BW:TH!D10)</f>
        <v>220363</v>
      </c>
      <c r="E10" s="33">
        <f>SUM(BW:TH!E10)</f>
        <v>24358</v>
      </c>
      <c r="F10" s="33">
        <f>SUM(BW:TH!F10)</f>
        <v>24029.42</v>
      </c>
      <c r="G10" s="78">
        <f>SUM(BW:TH!G10)</f>
        <v>43540.637157447127</v>
      </c>
    </row>
    <row r="11" spans="1:7" ht="24.75" customHeight="1">
      <c r="A11" s="36"/>
      <c r="B11" s="36" t="s">
        <v>13</v>
      </c>
      <c r="C11" s="85"/>
      <c r="D11" s="8">
        <f>SUM(BW:TH!D11)</f>
        <v>4615</v>
      </c>
      <c r="E11" s="7">
        <f>SUM(BW:TH!E11)</f>
        <v>682</v>
      </c>
      <c r="F11" s="88"/>
      <c r="G11" s="80"/>
    </row>
    <row r="12" spans="1:7" ht="24.75" customHeight="1">
      <c r="A12" s="40"/>
      <c r="B12" s="41" t="s">
        <v>14</v>
      </c>
      <c r="C12" s="41"/>
      <c r="D12" s="42">
        <f>SUM(BW:TH!D12)</f>
        <v>10615</v>
      </c>
      <c r="E12" s="87">
        <f>SUM(BW:TH!E12)</f>
        <v>1304</v>
      </c>
      <c r="F12" s="89"/>
      <c r="G12" s="80"/>
    </row>
    <row r="13" spans="1:7" ht="24.75" customHeight="1">
      <c r="A13" s="45"/>
      <c r="B13" s="46" t="s">
        <v>15</v>
      </c>
      <c r="C13" s="86"/>
      <c r="D13" s="8">
        <f>SUM(BW:TH!D13)</f>
        <v>28843</v>
      </c>
      <c r="E13" s="7">
        <f>SUM(BW:TH!E13)</f>
        <v>2653</v>
      </c>
      <c r="F13" s="89"/>
      <c r="G13" s="80"/>
    </row>
    <row r="14" spans="1:7" ht="24.75" customHeight="1">
      <c r="A14" s="50"/>
      <c r="B14" s="41" t="s">
        <v>16</v>
      </c>
      <c r="C14" s="51"/>
      <c r="D14" s="42">
        <f>SUM(BW:TH!D14)</f>
        <v>23808</v>
      </c>
      <c r="E14" s="87">
        <f>SUM(BW:TH!E14)</f>
        <v>2366</v>
      </c>
      <c r="F14" s="89"/>
      <c r="G14" s="80"/>
    </row>
    <row r="15" spans="1:7" ht="24.75" customHeight="1">
      <c r="A15" s="52"/>
      <c r="B15" s="46" t="s">
        <v>17</v>
      </c>
      <c r="C15" s="46"/>
      <c r="D15" s="8">
        <f>SUM(BW:TH!D15)</f>
        <v>79373</v>
      </c>
      <c r="E15" s="7">
        <f>SUM(BW:TH!E15)</f>
        <v>10137</v>
      </c>
      <c r="F15" s="89"/>
      <c r="G15" s="80"/>
    </row>
    <row r="16" spans="1:7" ht="24.75" customHeight="1">
      <c r="A16" s="40"/>
      <c r="B16" s="41" t="s">
        <v>18</v>
      </c>
      <c r="C16" s="41"/>
      <c r="D16" s="42">
        <f>SUM(BW:TH!D16)</f>
        <v>39883</v>
      </c>
      <c r="E16" s="87">
        <f>SUM(BW:TH!E16)</f>
        <v>2900</v>
      </c>
      <c r="F16" s="89"/>
      <c r="G16" s="80"/>
    </row>
    <row r="17" spans="1:7" ht="24.75" customHeight="1">
      <c r="A17" s="45"/>
      <c r="B17" s="46" t="s">
        <v>19</v>
      </c>
      <c r="C17" s="46"/>
      <c r="D17" s="8">
        <f>SUM(BW:TH!D17)</f>
        <v>3246</v>
      </c>
      <c r="E17" s="7">
        <f>SUM(BW:TH!E17)</f>
        <v>329</v>
      </c>
      <c r="F17" s="89"/>
      <c r="G17" s="80"/>
    </row>
    <row r="18" spans="1:7" ht="24.75" customHeight="1">
      <c r="A18" s="50"/>
      <c r="B18" s="41" t="s">
        <v>20</v>
      </c>
      <c r="C18" s="41"/>
      <c r="D18" s="42">
        <f>SUM(BW:TH!D18)</f>
        <v>19755</v>
      </c>
      <c r="E18" s="87">
        <f>SUM(BW:TH!E18)</f>
        <v>2381</v>
      </c>
      <c r="F18" s="89"/>
      <c r="G18" s="80"/>
    </row>
    <row r="19" spans="1:7" ht="24.75" customHeight="1">
      <c r="A19" s="97"/>
      <c r="B19" s="147" t="s">
        <v>21</v>
      </c>
      <c r="C19" s="148"/>
      <c r="D19" s="8">
        <f>SUM(BW:TH!D19)</f>
        <v>10225</v>
      </c>
      <c r="E19" s="7">
        <f>SUM(BW:TH!E19)</f>
        <v>1606</v>
      </c>
      <c r="F19" s="89"/>
      <c r="G19" s="80"/>
    </row>
    <row r="20" spans="1:7" ht="24.75" customHeight="1">
      <c r="A20" s="98" t="s">
        <v>82</v>
      </c>
      <c r="B20" s="94"/>
      <c r="C20" s="94"/>
      <c r="D20" s="95">
        <f>SUM(BW:TH!D20)</f>
        <v>10917</v>
      </c>
      <c r="E20" s="96">
        <f>SUM(BW:TH!E20)</f>
        <v>628</v>
      </c>
      <c r="F20" s="96">
        <f>SUM(BW:TH!F20)</f>
        <v>1005</v>
      </c>
      <c r="G20" s="99">
        <f>SUM(BW:TH!G20)</f>
        <v>1665.254819121413</v>
      </c>
    </row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3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0"/>
  <dimension ref="A1:J94"/>
  <sheetViews>
    <sheetView tabSelected="1" zoomScale="110" zoomScaleNormal="110" workbookViewId="0">
      <selection activeCell="D16" sqref="D16"/>
    </sheetView>
  </sheetViews>
  <sheetFormatPr baseColWidth="10" defaultColWidth="12" defaultRowHeight="12.75"/>
  <cols>
    <col min="1" max="1" width="2.33203125" style="1" customWidth="1"/>
    <col min="2" max="2" width="20.33203125" style="1" customWidth="1"/>
    <col min="3" max="3" width="15.5" style="1" customWidth="1"/>
    <col min="4" max="7" width="12" style="1" customWidth="1"/>
    <col min="8" max="8" width="12" style="1"/>
    <col min="9" max="10" width="12" style="1" customWidth="1"/>
    <col min="11" max="16384" width="12" style="1"/>
  </cols>
  <sheetData>
    <row r="1" spans="1:10" ht="30" customHeight="1">
      <c r="A1" s="149"/>
      <c r="B1" s="150"/>
      <c r="C1" s="151"/>
      <c r="D1" s="152"/>
      <c r="E1" s="54"/>
      <c r="F1" s="54"/>
      <c r="G1" s="54"/>
      <c r="H1" s="54"/>
      <c r="I1" s="187" t="s">
        <v>78</v>
      </c>
      <c r="J1" s="188"/>
    </row>
    <row r="2" spans="1:10" ht="16.5" customHeight="1">
      <c r="A2" s="161" t="s">
        <v>1</v>
      </c>
      <c r="B2" s="162"/>
      <c r="C2" s="81" t="str">
        <f>[1]SKL!C2</f>
        <v>2017/18</v>
      </c>
      <c r="D2" s="155"/>
      <c r="E2" s="55"/>
      <c r="F2" s="55"/>
      <c r="G2" s="55"/>
      <c r="H2" s="55"/>
      <c r="I2" s="189"/>
      <c r="J2" s="190"/>
    </row>
    <row r="3" spans="1:10" ht="16.5" customHeight="1">
      <c r="A3" s="163" t="s">
        <v>2</v>
      </c>
      <c r="B3" s="164"/>
      <c r="C3" s="81" t="s">
        <v>79</v>
      </c>
      <c r="D3" s="180"/>
      <c r="E3" s="55"/>
      <c r="F3" s="55"/>
      <c r="G3" s="55"/>
      <c r="H3" s="55"/>
      <c r="I3" s="189"/>
      <c r="J3" s="190"/>
    </row>
    <row r="4" spans="1:10" ht="3" customHeight="1">
      <c r="A4" s="76"/>
      <c r="B4" s="77"/>
      <c r="C4" s="77"/>
      <c r="D4" s="77"/>
      <c r="E4" s="55"/>
      <c r="F4" s="55"/>
      <c r="G4" s="55"/>
      <c r="H4" s="55"/>
      <c r="I4" s="56"/>
      <c r="J4" s="57"/>
    </row>
    <row r="5" spans="1:10" ht="24" customHeight="1">
      <c r="A5" s="165" t="s">
        <v>3</v>
      </c>
      <c r="B5" s="166"/>
      <c r="C5" s="167"/>
      <c r="D5" s="181" t="s">
        <v>71</v>
      </c>
      <c r="E5" s="182"/>
      <c r="F5" s="183"/>
      <c r="G5" s="181" t="s">
        <v>74</v>
      </c>
      <c r="H5" s="183"/>
      <c r="I5" s="191">
        <f>SUM(BW:TH!J4:K4)</f>
        <v>7361885</v>
      </c>
      <c r="J5" s="192"/>
    </row>
    <row r="6" spans="1:10" ht="19.5" customHeight="1">
      <c r="A6" s="168"/>
      <c r="B6" s="169"/>
      <c r="C6" s="170"/>
      <c r="D6" s="155"/>
      <c r="E6" s="184"/>
      <c r="F6" s="185"/>
      <c r="G6" s="155"/>
      <c r="H6" s="185"/>
      <c r="I6" s="186" t="s">
        <v>76</v>
      </c>
      <c r="J6" s="185" t="s">
        <v>77</v>
      </c>
    </row>
    <row r="7" spans="1:10" ht="19.5" customHeight="1">
      <c r="A7" s="168"/>
      <c r="B7" s="169"/>
      <c r="C7" s="170"/>
      <c r="D7" s="155"/>
      <c r="E7" s="184"/>
      <c r="F7" s="185"/>
      <c r="G7" s="155"/>
      <c r="H7" s="185"/>
      <c r="I7" s="186"/>
      <c r="J7" s="185"/>
    </row>
    <row r="8" spans="1:10" ht="36.75" customHeight="1">
      <c r="A8" s="11"/>
      <c r="B8" s="12"/>
      <c r="C8" s="12"/>
      <c r="D8" s="53" t="s">
        <v>72</v>
      </c>
      <c r="E8" s="21" t="s">
        <v>87</v>
      </c>
      <c r="F8" s="25" t="s">
        <v>75</v>
      </c>
      <c r="G8" s="10" t="s">
        <v>72</v>
      </c>
      <c r="H8" s="25" t="s">
        <v>73</v>
      </c>
      <c r="I8" s="186"/>
      <c r="J8" s="185"/>
    </row>
    <row r="9" spans="1:10" ht="33" customHeight="1" thickBot="1">
      <c r="A9" s="140" t="s">
        <v>10</v>
      </c>
      <c r="B9" s="141"/>
      <c r="C9" s="141"/>
      <c r="D9" s="30">
        <f>SUM(BW:TH!D8)</f>
        <v>317480</v>
      </c>
      <c r="E9" s="31">
        <f>[17]D!D7</f>
        <v>222485</v>
      </c>
      <c r="F9" s="58">
        <f>SUM(D9:E9)</f>
        <v>539965</v>
      </c>
      <c r="G9" s="64">
        <f>(D9-D21)*100/($F9-F21)</f>
        <v>57.992088969768972</v>
      </c>
      <c r="H9" s="32">
        <f>(E9-E21)*100/($F9-F21)</f>
        <v>42.007911030231028</v>
      </c>
      <c r="I9" s="70">
        <f>(F9-F21)*100/$I$5</f>
        <v>7.1806201808368373</v>
      </c>
      <c r="J9" s="32">
        <f>(D9-D21)*100/$I$5</f>
        <v>4.1641916438520843</v>
      </c>
    </row>
    <row r="10" spans="1:10" ht="24.75" customHeight="1" thickTop="1">
      <c r="A10" s="142" t="s">
        <v>11</v>
      </c>
      <c r="B10" s="143"/>
      <c r="C10" s="143"/>
      <c r="D10" s="27">
        <f>SUM(BW:TH!D9)</f>
        <v>86200</v>
      </c>
      <c r="E10" s="28">
        <f>[17]D!D8</f>
        <v>100425</v>
      </c>
      <c r="F10" s="59">
        <f t="shared" ref="F10:F21" si="0">SUM(D10:E10)</f>
        <v>186625</v>
      </c>
      <c r="G10" s="65">
        <f t="shared" ref="G10:G20" si="1">D10*100/($F10)</f>
        <v>46.188881446751509</v>
      </c>
      <c r="H10" s="29">
        <f t="shared" ref="H10:H20" si="2">E10*100/($F10)</f>
        <v>53.811118553248491</v>
      </c>
      <c r="I10" s="71">
        <f>F10*100/$I$5</f>
        <v>2.535016507321155</v>
      </c>
      <c r="J10" s="29">
        <f>D10*100/$I$5</f>
        <v>1.1708957692221489</v>
      </c>
    </row>
    <row r="11" spans="1:10" ht="24.75" customHeight="1">
      <c r="A11" s="144" t="s">
        <v>12</v>
      </c>
      <c r="B11" s="145"/>
      <c r="C11" s="146"/>
      <c r="D11" s="26">
        <f>SUM(BW:TH!D10)</f>
        <v>220363</v>
      </c>
      <c r="E11" s="34">
        <f>[17]D!D9</f>
        <v>121641</v>
      </c>
      <c r="F11" s="60">
        <f t="shared" si="0"/>
        <v>342004</v>
      </c>
      <c r="G11" s="66">
        <f t="shared" si="1"/>
        <v>64.432872130150528</v>
      </c>
      <c r="H11" s="35">
        <f t="shared" si="2"/>
        <v>35.567127869849479</v>
      </c>
      <c r="I11" s="72">
        <f t="shared" ref="I11:I20" si="3">F11*100/$I$5</f>
        <v>4.6456036735156827</v>
      </c>
      <c r="J11" s="35">
        <f t="shared" ref="J11:J20" si="4">D11*100/$I$5</f>
        <v>2.993295874629935</v>
      </c>
    </row>
    <row r="12" spans="1:10" ht="24.75" customHeight="1">
      <c r="A12" s="36"/>
      <c r="B12" s="36" t="s">
        <v>13</v>
      </c>
      <c r="C12" s="85"/>
      <c r="D12" s="37">
        <f>SUM(BW:TH!D11)</f>
        <v>4615</v>
      </c>
      <c r="E12" s="38">
        <f>[17]D!D10</f>
        <v>4553</v>
      </c>
      <c r="F12" s="61">
        <f t="shared" si="0"/>
        <v>9168</v>
      </c>
      <c r="G12" s="67">
        <f t="shared" si="1"/>
        <v>50.338132635253054</v>
      </c>
      <c r="H12" s="39">
        <f t="shared" si="2"/>
        <v>49.661867364746946</v>
      </c>
      <c r="I12" s="73">
        <f t="shared" si="3"/>
        <v>0.12453332264766429</v>
      </c>
      <c r="J12" s="39">
        <f t="shared" si="4"/>
        <v>6.2687749129468881E-2</v>
      </c>
    </row>
    <row r="13" spans="1:10" ht="24.75" customHeight="1">
      <c r="A13" s="40"/>
      <c r="B13" s="41" t="s">
        <v>14</v>
      </c>
      <c r="C13" s="41"/>
      <c r="D13" s="42">
        <f>SUM(BW:TH!D12)</f>
        <v>10615</v>
      </c>
      <c r="E13" s="43">
        <f>[17]D!D11</f>
        <v>10337</v>
      </c>
      <c r="F13" s="62">
        <f t="shared" si="0"/>
        <v>20952</v>
      </c>
      <c r="G13" s="68">
        <f t="shared" si="1"/>
        <v>50.663421153111877</v>
      </c>
      <c r="H13" s="44">
        <f t="shared" si="2"/>
        <v>49.336578846888123</v>
      </c>
      <c r="I13" s="74">
        <f t="shared" si="3"/>
        <v>0.28460102270002857</v>
      </c>
      <c r="J13" s="44">
        <f t="shared" si="4"/>
        <v>0.14418861473657901</v>
      </c>
    </row>
    <row r="14" spans="1:10" ht="24.75" customHeight="1">
      <c r="A14" s="45"/>
      <c r="B14" s="46" t="s">
        <v>15</v>
      </c>
      <c r="C14" s="86"/>
      <c r="D14" s="47">
        <f>SUM(BW:TH!D13)</f>
        <v>28843</v>
      </c>
      <c r="E14" s="48">
        <f>[17]D!D12</f>
        <v>27271</v>
      </c>
      <c r="F14" s="63">
        <f t="shared" si="0"/>
        <v>56114</v>
      </c>
      <c r="G14" s="69">
        <f t="shared" si="1"/>
        <v>51.400719962932598</v>
      </c>
      <c r="H14" s="49">
        <f>E14*100/($F14)</f>
        <v>48.599280037067402</v>
      </c>
      <c r="I14" s="75">
        <f t="shared" si="3"/>
        <v>0.76222326211289637</v>
      </c>
      <c r="J14" s="49">
        <f t="shared" si="4"/>
        <v>0.39178824445097959</v>
      </c>
    </row>
    <row r="15" spans="1:10" ht="24.75" customHeight="1">
      <c r="A15" s="50"/>
      <c r="B15" s="41" t="s">
        <v>16</v>
      </c>
      <c r="C15" s="51"/>
      <c r="D15" s="42">
        <f>SUM(BW:TH!D14)</f>
        <v>23808</v>
      </c>
      <c r="E15" s="43">
        <f>[17]D!D13</f>
        <v>13172</v>
      </c>
      <c r="F15" s="62">
        <f t="shared" si="0"/>
        <v>36980</v>
      </c>
      <c r="G15" s="68">
        <f t="shared" si="1"/>
        <v>64.380746349378043</v>
      </c>
      <c r="H15" s="44">
        <f t="shared" si="2"/>
        <v>35.619253650621957</v>
      </c>
      <c r="I15" s="74">
        <f t="shared" si="3"/>
        <v>0.50231700169182214</v>
      </c>
      <c r="J15" s="44">
        <f t="shared" si="4"/>
        <v>0.323395434729013</v>
      </c>
    </row>
    <row r="16" spans="1:10" ht="24.75" customHeight="1">
      <c r="A16" s="52"/>
      <c r="B16" s="46" t="s">
        <v>17</v>
      </c>
      <c r="C16" s="46"/>
      <c r="D16" s="47">
        <f>SUM(BW:TH!D15)</f>
        <v>79373</v>
      </c>
      <c r="E16" s="48">
        <f>[17]D!D14</f>
        <v>11832</v>
      </c>
      <c r="F16" s="63">
        <f t="shared" si="0"/>
        <v>91205</v>
      </c>
      <c r="G16" s="69">
        <f t="shared" si="1"/>
        <v>87.027027027027032</v>
      </c>
      <c r="H16" s="49">
        <f t="shared" si="2"/>
        <v>12.972972972972974</v>
      </c>
      <c r="I16" s="75">
        <f t="shared" si="3"/>
        <v>1.2388810746160799</v>
      </c>
      <c r="J16" s="49">
        <f t="shared" si="4"/>
        <v>1.0781613676388588</v>
      </c>
    </row>
    <row r="17" spans="1:10" ht="24.75" customHeight="1">
      <c r="A17" s="40"/>
      <c r="B17" s="41" t="s">
        <v>18</v>
      </c>
      <c r="C17" s="41"/>
      <c r="D17" s="42">
        <f>SUM(BW:TH!D16)</f>
        <v>39883</v>
      </c>
      <c r="E17" s="43">
        <f>[17]D!D15</f>
        <v>51741</v>
      </c>
      <c r="F17" s="62">
        <f t="shared" si="0"/>
        <v>91624</v>
      </c>
      <c r="G17" s="68">
        <f t="shared" si="1"/>
        <v>43.528988038068626</v>
      </c>
      <c r="H17" s="44">
        <f t="shared" si="2"/>
        <v>56.471011961931374</v>
      </c>
      <c r="I17" s="74">
        <f t="shared" si="3"/>
        <v>1.2445725517309765</v>
      </c>
      <c r="J17" s="44">
        <f t="shared" si="4"/>
        <v>0.54174983716806224</v>
      </c>
    </row>
    <row r="18" spans="1:10" ht="24.75" customHeight="1">
      <c r="A18" s="45"/>
      <c r="B18" s="46" t="s">
        <v>19</v>
      </c>
      <c r="C18" s="46"/>
      <c r="D18" s="47">
        <f>SUM(BW:TH!D17)</f>
        <v>3246</v>
      </c>
      <c r="E18" s="48">
        <f>[17]D!D16</f>
        <v>1494</v>
      </c>
      <c r="F18" s="63">
        <f t="shared" si="0"/>
        <v>4740</v>
      </c>
      <c r="G18" s="69">
        <f t="shared" si="1"/>
        <v>68.481012658227854</v>
      </c>
      <c r="H18" s="49">
        <f t="shared" si="2"/>
        <v>31.518987341772153</v>
      </c>
      <c r="I18" s="75">
        <f t="shared" si="3"/>
        <v>6.4385683829617013E-2</v>
      </c>
      <c r="J18" s="49">
        <f t="shared" si="4"/>
        <v>4.4091968293446582E-2</v>
      </c>
    </row>
    <row r="19" spans="1:10" ht="24.75" customHeight="1">
      <c r="A19" s="50"/>
      <c r="B19" s="41" t="s">
        <v>20</v>
      </c>
      <c r="C19" s="41"/>
      <c r="D19" s="42">
        <f>SUM(BW:TH!D18)</f>
        <v>19755</v>
      </c>
      <c r="E19" s="43">
        <f>[17]D!D17</f>
        <v>0</v>
      </c>
      <c r="F19" s="62">
        <f t="shared" si="0"/>
        <v>19755</v>
      </c>
      <c r="G19" s="68">
        <f t="shared" si="1"/>
        <v>100</v>
      </c>
      <c r="H19" s="44">
        <f t="shared" si="2"/>
        <v>0</v>
      </c>
      <c r="I19" s="74">
        <f t="shared" si="3"/>
        <v>0.26834160001141011</v>
      </c>
      <c r="J19" s="44">
        <f t="shared" si="4"/>
        <v>0.26834160001141011</v>
      </c>
    </row>
    <row r="20" spans="1:10" ht="24.75" customHeight="1">
      <c r="A20" s="97"/>
      <c r="B20" s="147" t="s">
        <v>21</v>
      </c>
      <c r="C20" s="148"/>
      <c r="D20" s="122">
        <f>SUM(BW:TH!D19)</f>
        <v>10225</v>
      </c>
      <c r="E20" s="123">
        <f>[17]D!D18</f>
        <v>1241</v>
      </c>
      <c r="F20" s="124">
        <f t="shared" si="0"/>
        <v>11466</v>
      </c>
      <c r="G20" s="125">
        <f t="shared" si="1"/>
        <v>89.176696319553457</v>
      </c>
      <c r="H20" s="126">
        <f t="shared" si="2"/>
        <v>10.823303680446537</v>
      </c>
      <c r="I20" s="127">
        <f t="shared" si="3"/>
        <v>0.15574815417518748</v>
      </c>
      <c r="J20" s="126">
        <f t="shared" si="4"/>
        <v>0.13889105847211686</v>
      </c>
    </row>
    <row r="21" spans="1:10" ht="24.75" customHeight="1">
      <c r="A21" s="98" t="s">
        <v>82</v>
      </c>
      <c r="B21" s="94"/>
      <c r="C21" s="94"/>
      <c r="D21" s="95">
        <f>SUM(BW:TH!D20)</f>
        <v>10917</v>
      </c>
      <c r="E21" s="128">
        <f>[17]D!D19</f>
        <v>419</v>
      </c>
      <c r="F21" s="78">
        <f t="shared" si="0"/>
        <v>11336</v>
      </c>
      <c r="G21" s="175"/>
      <c r="H21" s="176"/>
      <c r="I21" s="176"/>
      <c r="J21" s="177"/>
    </row>
    <row r="22" spans="1:10" ht="14.25" customHeight="1">
      <c r="A22" s="178" t="s">
        <v>88</v>
      </c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23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</row>
    <row r="24" spans="1:10" ht="14.25" customHeight="1"/>
    <row r="25" spans="1:10" ht="14.25" customHeight="1"/>
    <row r="26" spans="1:10" ht="14.25" customHeight="1"/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9" customHeight="1"/>
    <row r="49" ht="33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9" customHeight="1"/>
    <row r="76" ht="30" customHeight="1"/>
    <row r="92" spans="1:4">
      <c r="A92" s="9"/>
      <c r="B92" s="9"/>
      <c r="C92" s="9"/>
      <c r="D92" s="9"/>
    </row>
    <row r="93" spans="1:4">
      <c r="A93" s="9"/>
      <c r="B93" s="9"/>
      <c r="C93" s="9"/>
      <c r="D93" s="9"/>
    </row>
    <row r="94" spans="1:4">
      <c r="A94" s="9"/>
      <c r="B94" s="9"/>
      <c r="C94" s="9"/>
      <c r="D94" s="9"/>
    </row>
  </sheetData>
  <sheetProtection formatCells="0" formatColumns="0" formatRows="0"/>
  <mergeCells count="17">
    <mergeCell ref="I5:J5"/>
    <mergeCell ref="G21:J21"/>
    <mergeCell ref="A22:J23"/>
    <mergeCell ref="A1:C1"/>
    <mergeCell ref="D1:D3"/>
    <mergeCell ref="A2:B2"/>
    <mergeCell ref="A3:B3"/>
    <mergeCell ref="A5:C7"/>
    <mergeCell ref="A9:C9"/>
    <mergeCell ref="A10:C10"/>
    <mergeCell ref="A11:C11"/>
    <mergeCell ref="B20:C20"/>
    <mergeCell ref="D5:F7"/>
    <mergeCell ref="G5:H7"/>
    <mergeCell ref="I6:I8"/>
    <mergeCell ref="J6:J8"/>
    <mergeCell ref="I1:J3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scale="75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/>
  <dimension ref="A1:K93"/>
  <sheetViews>
    <sheetView zoomScaleNormal="100" workbookViewId="0">
      <selection activeCell="D8" sqref="D8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12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[1]SKL!C2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6" customHeight="1">
      <c r="A3" s="163" t="s">
        <v>2</v>
      </c>
      <c r="B3" s="164"/>
      <c r="C3" s="81" t="s">
        <v>22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[1]SopäFö!$J$4</f>
        <v>998787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[1]SKL!D40</f>
        <v>49659</v>
      </c>
      <c r="E8" s="83">
        <f>SUM(E9,E10,E20)</f>
        <v>8326</v>
      </c>
      <c r="F8" s="83">
        <f>[1]SKL!E40</f>
        <v>5893</v>
      </c>
      <c r="G8" s="84">
        <f>[1]SKL!F40</f>
        <v>11510.49</v>
      </c>
      <c r="H8" s="103">
        <f>IFERROR(D8*100/(D8+[1]SopäInt!D7),0)</f>
        <v>64.707338684457412</v>
      </c>
      <c r="I8" s="104">
        <f>IFERROR([1]SopäInt!D7*100/([1]SopäInt!D7+[1]SopäFö!D8),0)</f>
        <v>35.292661315542581</v>
      </c>
      <c r="J8" s="103">
        <f>(D8-D20+[1]SopäInt!D7-[1]SopäInt!D19)*100/$J$4</f>
        <v>7.4144937809562999</v>
      </c>
      <c r="K8" s="115">
        <f>(D8-D20)*100/$J$4</f>
        <v>4.7234295200077696</v>
      </c>
    </row>
    <row r="9" spans="1:11" ht="24.75" customHeight="1" thickTop="1">
      <c r="A9" s="142" t="s">
        <v>11</v>
      </c>
      <c r="B9" s="143"/>
      <c r="C9" s="143"/>
      <c r="D9" s="23">
        <f>[1]SKL!D41</f>
        <v>16253</v>
      </c>
      <c r="E9" s="7">
        <f>[1]SopäFö!E9</f>
        <v>3820</v>
      </c>
      <c r="F9" s="24">
        <f>[1]SKL!E41</f>
        <v>1604</v>
      </c>
      <c r="G9" s="79">
        <f>[1]SKL!F41</f>
        <v>2323.61</v>
      </c>
      <c r="H9" s="105">
        <f>IFERROR(D9*100/(D9+[1]SopäInt!D8),0)</f>
        <v>53.74669312169312</v>
      </c>
      <c r="I9" s="106">
        <f>IFERROR([1]SopäInt!D8*100/([1]SopäInt!D8+[1]SopäFö!D9),0)</f>
        <v>46.25330687830688</v>
      </c>
      <c r="J9" s="105">
        <f>(D9+[1]SopäInt!D8)*100/$J$4</f>
        <v>3.0276725668235569</v>
      </c>
      <c r="K9" s="116">
        <f>D9*100/$J$4</f>
        <v>1.6272738832203464</v>
      </c>
    </row>
    <row r="10" spans="1:11" ht="24.75" customHeight="1">
      <c r="A10" s="144" t="s">
        <v>12</v>
      </c>
      <c r="B10" s="145"/>
      <c r="C10" s="146"/>
      <c r="D10" s="22">
        <f>SUM(D11:D19)</f>
        <v>30924</v>
      </c>
      <c r="E10" s="33">
        <f>SUM(E11:E19)</f>
        <v>4322</v>
      </c>
      <c r="F10" s="33">
        <f>[1]SKL!E42</f>
        <v>4289</v>
      </c>
      <c r="G10" s="78">
        <f>[1]SKL!F42</f>
        <v>8773.4699999999993</v>
      </c>
      <c r="H10" s="107">
        <f>IFERROR(D10*100/(D10+[1]SopäInt!D9),0)</f>
        <v>70.578568983224926</v>
      </c>
      <c r="I10" s="108">
        <f>IFERROR([1]SopäInt!D9*100/([1]SopäInt!D9+[1]SopäFö!D10),0)</f>
        <v>29.421431016775077</v>
      </c>
      <c r="J10" s="107">
        <f>(D10+[1]SopäInt!D9)*100/$J$4</f>
        <v>4.386821214132743</v>
      </c>
      <c r="K10" s="117">
        <f t="shared" ref="K10:K19" si="0">D10*100/$J$4</f>
        <v>3.0961556367874232</v>
      </c>
    </row>
    <row r="11" spans="1:11" ht="24.75" customHeight="1">
      <c r="A11" s="36"/>
      <c r="B11" s="36" t="s">
        <v>13</v>
      </c>
      <c r="C11" s="85"/>
      <c r="D11" s="8">
        <f>[1]SopäFö!D11</f>
        <v>961</v>
      </c>
      <c r="E11" s="7">
        <f>[1]SopäFö!E11</f>
        <v>151</v>
      </c>
      <c r="F11" s="88"/>
      <c r="G11" s="80"/>
      <c r="H11" s="109">
        <f>IFERROR(D11*100/(D11+[1]SopäInt!D10),0)</f>
        <v>57.373134328358212</v>
      </c>
      <c r="I11" s="106">
        <f>IFERROR([1]SopäInt!D10*100/([1]SopäInt!D10+[1]SopäFö!D11),0)</f>
        <v>42.626865671641788</v>
      </c>
      <c r="J11" s="109">
        <f>(D11+[1]SopäInt!D10)*100/$J$4</f>
        <v>0.16770342425361964</v>
      </c>
      <c r="K11" s="116">
        <f t="shared" si="0"/>
        <v>9.621671087028566E-2</v>
      </c>
    </row>
    <row r="12" spans="1:11" ht="24.75" customHeight="1">
      <c r="A12" s="40"/>
      <c r="B12" s="41" t="s">
        <v>14</v>
      </c>
      <c r="C12" s="41"/>
      <c r="D12" s="42">
        <f>[1]SopäFö!D12</f>
        <v>1785</v>
      </c>
      <c r="E12" s="87">
        <f>[1]SopäFö!E12</f>
        <v>171</v>
      </c>
      <c r="F12" s="89"/>
      <c r="G12" s="80"/>
      <c r="H12" s="110">
        <f>IFERROR(D12*100/(D12+[1]SopäInt!D11),0)</f>
        <v>52.26939970717423</v>
      </c>
      <c r="I12" s="111">
        <f>IFERROR([1]SopäInt!D11*100/([1]SopäInt!D11+[1]SopäFö!D12),0)</f>
        <v>47.73060029282577</v>
      </c>
      <c r="J12" s="110">
        <f>(D12+[1]SopäInt!D11)*100/$J$4</f>
        <v>0.3419147425827529</v>
      </c>
      <c r="K12" s="118">
        <f t="shared" si="0"/>
        <v>0.17871678345833497</v>
      </c>
    </row>
    <row r="13" spans="1:11" ht="24.75" customHeight="1">
      <c r="A13" s="45"/>
      <c r="B13" s="46" t="s">
        <v>15</v>
      </c>
      <c r="C13" s="86"/>
      <c r="D13" s="8">
        <f>[1]SopäFö!D13</f>
        <v>5864</v>
      </c>
      <c r="E13" s="7">
        <f>[1]SopäFö!E13</f>
        <v>700</v>
      </c>
      <c r="F13" s="89"/>
      <c r="G13" s="80"/>
      <c r="H13" s="109">
        <f>IFERROR(D13*100/(D13+[1]SopäInt!D12),0)</f>
        <v>70.958373668925461</v>
      </c>
      <c r="I13" s="106">
        <f>IFERROR([1]SopäInt!D12*100/([1]SopäInt!D12+[1]SopäFö!D13),0)</f>
        <v>29.041626331074539</v>
      </c>
      <c r="J13" s="109">
        <f>(D13+[1]SopäInt!D12)*100/$J$4</f>
        <v>0.8274036406160673</v>
      </c>
      <c r="K13" s="116">
        <f t="shared" si="0"/>
        <v>0.58711216705864211</v>
      </c>
    </row>
    <row r="14" spans="1:11" ht="24.75" customHeight="1">
      <c r="A14" s="50"/>
      <c r="B14" s="41" t="s">
        <v>16</v>
      </c>
      <c r="C14" s="51"/>
      <c r="D14" s="42">
        <f>[1]SopäFö!D14</f>
        <v>5341</v>
      </c>
      <c r="E14" s="87">
        <f>[1]SopäFö!E14</f>
        <v>687</v>
      </c>
      <c r="F14" s="89"/>
      <c r="G14" s="80"/>
      <c r="H14" s="110">
        <f>IFERROR(D14*100/(D14+[1]SopäInt!D13),0)</f>
        <v>80.35203851361517</v>
      </c>
      <c r="I14" s="111">
        <f>IFERROR([1]SopäInt!D13*100/([1]SopäInt!D13+[1]SopäFö!D14),0)</f>
        <v>19.647961486384837</v>
      </c>
      <c r="J14" s="110">
        <f>(D14+[1]SopäInt!D13)*100/$J$4</f>
        <v>0.66550726030675211</v>
      </c>
      <c r="K14" s="118">
        <f t="shared" si="0"/>
        <v>0.53474865011258654</v>
      </c>
    </row>
    <row r="15" spans="1:11" ht="24.75" customHeight="1">
      <c r="A15" s="52"/>
      <c r="B15" s="46" t="s">
        <v>17</v>
      </c>
      <c r="C15" s="46"/>
      <c r="D15" s="8">
        <f>[1]SopäFö!D15</f>
        <v>8998</v>
      </c>
      <c r="E15" s="7">
        <f>[1]SopäFö!E15</f>
        <v>1726</v>
      </c>
      <c r="F15" s="89"/>
      <c r="G15" s="80"/>
      <c r="H15" s="109">
        <f>IFERROR(D15*100/(D15+[1]SopäInt!D14),0)</f>
        <v>91.452383372293937</v>
      </c>
      <c r="I15" s="106">
        <f>IFERROR([1]SopäInt!D14*100/([1]SopäInt!D14+[1]SopäFö!D15),0)</f>
        <v>8.5476166277060681</v>
      </c>
      <c r="J15" s="109">
        <f>(D15+[1]SopäInt!D14)*100/$J$4</f>
        <v>0.98509492013812749</v>
      </c>
      <c r="K15" s="116">
        <f t="shared" si="0"/>
        <v>0.90089278294571318</v>
      </c>
    </row>
    <row r="16" spans="1:11" ht="24.75" customHeight="1">
      <c r="A16" s="40"/>
      <c r="B16" s="41" t="s">
        <v>18</v>
      </c>
      <c r="C16" s="41"/>
      <c r="D16" s="42">
        <f>[1]SopäFö!D16</f>
        <v>7975</v>
      </c>
      <c r="E16" s="87">
        <f>[1]SopäFö!E16</f>
        <v>887</v>
      </c>
      <c r="F16" s="89"/>
      <c r="G16" s="80"/>
      <c r="H16" s="110">
        <f>IFERROR(D16*100/(D16+[1]SopäInt!D15),0)</f>
        <v>57.066189624329162</v>
      </c>
      <c r="I16" s="111">
        <f>IFERROR([1]SopäInt!D15*100/([1]SopäInt!D15+[1]SopäFö!D16),0)</f>
        <v>42.933810375670838</v>
      </c>
      <c r="J16" s="110">
        <f>(D16+[1]SopäInt!D15)*100/$J$4</f>
        <v>1.3991972262354235</v>
      </c>
      <c r="K16" s="118">
        <f t="shared" si="0"/>
        <v>0.79846854234186071</v>
      </c>
    </row>
    <row r="17" spans="1:11" ht="24.75" customHeight="1">
      <c r="A17" s="45"/>
      <c r="B17" s="46" t="s">
        <v>19</v>
      </c>
      <c r="C17" s="46"/>
      <c r="D17" s="8">
        <f>[1]SopäFö!D17</f>
        <v>0</v>
      </c>
      <c r="E17" s="7">
        <f>[1]SopäFö!E17</f>
        <v>0</v>
      </c>
      <c r="F17" s="89"/>
      <c r="G17" s="80"/>
      <c r="H17" s="109">
        <f>IFERROR(D17*100/(D17+[1]SopäInt!D16),0)</f>
        <v>0</v>
      </c>
      <c r="I17" s="106">
        <f>IFERROR([1]SopäInt!D16*100/([1]SopäInt!D16+[1]SopäFö!D17),0)</f>
        <v>0</v>
      </c>
      <c r="J17" s="109">
        <f>(D17+[1]SopäInt!D16)*100/$J$4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[1]SopäFö!D18</f>
        <v>0</v>
      </c>
      <c r="E18" s="87">
        <f>[1]SopäFö!E18</f>
        <v>0</v>
      </c>
      <c r="F18" s="89"/>
      <c r="G18" s="80"/>
      <c r="H18" s="110">
        <f>IFERROR(D18*100/(D18+[1]SopäInt!D17),0)</f>
        <v>0</v>
      </c>
      <c r="I18" s="111">
        <f>IFERROR([1]SopäInt!D17*100/([1]SopäInt!D17+[1]SopäFö!D18),0)</f>
        <v>0</v>
      </c>
      <c r="J18" s="110">
        <f>(D18+[1]SopäInt!D17)*100/$J$4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[1]SopäFö!D19</f>
        <v>0</v>
      </c>
      <c r="E19" s="7">
        <f>[1]SopäFö!E19</f>
        <v>0</v>
      </c>
      <c r="F19" s="89"/>
      <c r="G19" s="80"/>
      <c r="H19" s="109">
        <f>IFERROR(D19*100/(D19+[1]SopäInt!D18),0)</f>
        <v>0</v>
      </c>
      <c r="I19" s="106">
        <f>IFERROR([1]SopäInt!D18*100/([1]SopäInt!D18+[1]SopäFö!D19),0)</f>
        <v>0</v>
      </c>
      <c r="J19" s="109">
        <f>(D19+[1]SopäInt!D18)*100/$J$4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[1]SopäFö!D20</f>
        <v>2482</v>
      </c>
      <c r="E20" s="96">
        <f>[1]SopäFö!E20</f>
        <v>184</v>
      </c>
      <c r="F20" s="33">
        <f>[1]SKL!E43</f>
        <v>0</v>
      </c>
      <c r="G20" s="78">
        <f>[1]SKL!F43</f>
        <v>413.41</v>
      </c>
      <c r="H20" s="112">
        <f>IFERROR(D20*100/(D20+[1]SopäInt!D19),0)</f>
        <v>92.301970992934173</v>
      </c>
      <c r="I20" s="113">
        <f>IFERROR([1]SopäInt!D19*100/([1]SopäInt!D19+[1]SopäFö!D20),0)</f>
        <v>7.6980290070658235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[2]SKL!C2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1.9" customHeight="1">
      <c r="A3" s="163" t="s">
        <v>2</v>
      </c>
      <c r="B3" s="164"/>
      <c r="C3" s="81" t="s">
        <v>23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[2]SopäFö!$J$4</f>
        <v>1137338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[2]SKL!D40</f>
        <v>55283</v>
      </c>
      <c r="E8" s="83">
        <f>SUM(E9,E10,E20)</f>
        <v>6764</v>
      </c>
      <c r="F8" s="83">
        <f>[2]SKL!E40</f>
        <v>5204</v>
      </c>
      <c r="G8" s="84">
        <f>[2]SKL!F40</f>
        <v>8938</v>
      </c>
      <c r="H8" s="103">
        <f>IFERROR(D8*100/(D8+[2]SopäInt!D7),0)</f>
        <v>73.327408743633271</v>
      </c>
      <c r="I8" s="104">
        <f>IFERROR([2]SopäInt!D7*100/([2]SopäInt!D7+[2]SopäFö!D8),0)</f>
        <v>26.672591256366722</v>
      </c>
      <c r="J8" s="103">
        <f>(D8-D20+[2]SopäInt!D7-[2]SopäInt!D19)*100/$J$4</f>
        <v>6.3880746093069956</v>
      </c>
      <c r="K8" s="115">
        <f>(D8-D20)*100/$J$4</f>
        <v>4.6199986283760852</v>
      </c>
    </row>
    <row r="9" spans="1:11" ht="24.75" customHeight="1" thickTop="1">
      <c r="A9" s="142" t="s">
        <v>11</v>
      </c>
      <c r="B9" s="143"/>
      <c r="C9" s="143"/>
      <c r="D9" s="23">
        <f>[2]SKL!D41</f>
        <v>1278</v>
      </c>
      <c r="E9" s="7">
        <f>[2]SopäFö!E9</f>
        <v>120</v>
      </c>
      <c r="F9" s="24">
        <f>[2]SKL!E41</f>
        <v>103</v>
      </c>
      <c r="G9" s="79">
        <f>[2]SKL!F41</f>
        <v>191</v>
      </c>
      <c r="H9" s="105">
        <f>IFERROR(D9*100/(D9+[2]SopäInt!D8),0)</f>
        <v>10.021171489061397</v>
      </c>
      <c r="I9" s="106">
        <f>IFERROR([2]SopäInt!D8*100/([2]SopäInt!D8+[2]SopäFö!D9),0)</f>
        <v>89.978828510938598</v>
      </c>
      <c r="J9" s="105">
        <f>(D9+[2]SopäInt!D8)*100/$J$4</f>
        <v>1.1213025503412355</v>
      </c>
      <c r="K9" s="116">
        <f>D9*100/$J$4</f>
        <v>0.11236765148091421</v>
      </c>
    </row>
    <row r="10" spans="1:11" ht="24.75" customHeight="1">
      <c r="A10" s="144" t="s">
        <v>12</v>
      </c>
      <c r="B10" s="145"/>
      <c r="C10" s="146"/>
      <c r="D10" s="22">
        <f>SUM(D11:D19)</f>
        <v>51267</v>
      </c>
      <c r="E10" s="33">
        <f>SUM(E11:E19)</f>
        <v>6463</v>
      </c>
      <c r="F10" s="33">
        <f>[2]SKL!E42</f>
        <v>4879</v>
      </c>
      <c r="G10" s="78">
        <f>[2]SKL!F42</f>
        <v>8500</v>
      </c>
      <c r="H10" s="107">
        <f>IFERROR(D10*100/(D10+[2]SopäInt!D9),0)</f>
        <v>85.586217258476481</v>
      </c>
      <c r="I10" s="108">
        <f>IFERROR([2]SopäInt!D9*100/([2]SopäInt!D9+[2]SopäFö!D10),0)</f>
        <v>14.413782741523514</v>
      </c>
      <c r="J10" s="107">
        <f>(D10+[2]SopäInt!D9)*100/$J$4</f>
        <v>5.2667720589657607</v>
      </c>
      <c r="K10" s="117">
        <f t="shared" ref="K10:K19" si="0">D10*100/$J$4</f>
        <v>4.5076309768951708</v>
      </c>
    </row>
    <row r="11" spans="1:11" ht="24.75" customHeight="1">
      <c r="A11" s="36"/>
      <c r="B11" s="36" t="s">
        <v>13</v>
      </c>
      <c r="C11" s="85"/>
      <c r="D11" s="8">
        <f>[2]SopäFö!D11</f>
        <v>628</v>
      </c>
      <c r="E11" s="7">
        <f>[2]SopäFö!E11</f>
        <v>97</v>
      </c>
      <c r="F11" s="88"/>
      <c r="G11" s="80"/>
      <c r="H11" s="109">
        <f>IFERROR(D11*100/(D11+[2]SopäInt!D10),0)</f>
        <v>71.853546910755142</v>
      </c>
      <c r="I11" s="106">
        <f>IFERROR([2]SopäInt!D10*100/([2]SopäInt!D10+[2]SopäFö!D11),0)</f>
        <v>28.146453089244851</v>
      </c>
      <c r="J11" s="109">
        <f>(D11+[2]SopäInt!D10)*100/$J$4</f>
        <v>7.6846109072237101E-2</v>
      </c>
      <c r="K11" s="116">
        <f t="shared" si="0"/>
        <v>5.5216655031309951E-2</v>
      </c>
    </row>
    <row r="12" spans="1:11" ht="24.75" customHeight="1">
      <c r="A12" s="40"/>
      <c r="B12" s="41" t="s">
        <v>14</v>
      </c>
      <c r="C12" s="41"/>
      <c r="D12" s="42">
        <f>[2]SopäFö!D12</f>
        <v>1968</v>
      </c>
      <c r="E12" s="87">
        <f>[2]SopäFö!E12</f>
        <v>158</v>
      </c>
      <c r="F12" s="89"/>
      <c r="G12" s="80"/>
      <c r="H12" s="110">
        <f>IFERROR(D12*100/(D12+[2]SopäInt!D11),0)</f>
        <v>67.190167292591326</v>
      </c>
      <c r="I12" s="111">
        <f>IFERROR([2]SopäInt!D11*100/([2]SopäInt!D11+[2]SopäFö!D12),0)</f>
        <v>32.809832707408674</v>
      </c>
      <c r="J12" s="110">
        <f>(D12+[2]SopäInt!D11)*100/$J$4</f>
        <v>0.25753118246290901</v>
      </c>
      <c r="K12" s="118">
        <f t="shared" si="0"/>
        <v>0.17303563232741717</v>
      </c>
    </row>
    <row r="13" spans="1:11" ht="24.75" customHeight="1">
      <c r="A13" s="45"/>
      <c r="B13" s="46" t="s">
        <v>15</v>
      </c>
      <c r="C13" s="86"/>
      <c r="D13" s="8">
        <f>[2]SopäFö!D13</f>
        <v>1232</v>
      </c>
      <c r="E13" s="7">
        <f>[2]SopäFö!E13</f>
        <v>148</v>
      </c>
      <c r="F13" s="89"/>
      <c r="G13" s="80"/>
      <c r="H13" s="109">
        <f>IFERROR(D13*100/(D13+[2]SopäInt!D12),0)</f>
        <v>38.475952529668959</v>
      </c>
      <c r="I13" s="106">
        <f>IFERROR([2]SopäInt!D12*100/([2]SopäInt!D12+[2]SopäFö!D13),0)</f>
        <v>61.524047470331041</v>
      </c>
      <c r="J13" s="109">
        <f>(D13+[2]SopäInt!D12)*100/$J$4</f>
        <v>0.28153460097174277</v>
      </c>
      <c r="K13" s="116">
        <f t="shared" si="0"/>
        <v>0.10832311942448067</v>
      </c>
    </row>
    <row r="14" spans="1:11" ht="24.75" customHeight="1">
      <c r="A14" s="50"/>
      <c r="B14" s="41" t="s">
        <v>16</v>
      </c>
      <c r="C14" s="51"/>
      <c r="D14" s="42">
        <f>[2]SopäFö!D14</f>
        <v>1907</v>
      </c>
      <c r="E14" s="87">
        <f>[2]SopäFö!E14</f>
        <v>147</v>
      </c>
      <c r="F14" s="89"/>
      <c r="G14" s="80"/>
      <c r="H14" s="110">
        <f>IFERROR(D14*100/(D14+[2]SopäInt!D13),0)</f>
        <v>74.346978557504869</v>
      </c>
      <c r="I14" s="111">
        <f>IFERROR([2]SopäInt!D13*100/([2]SopäInt!D13+[2]SopäFö!D14),0)</f>
        <v>25.653021442495128</v>
      </c>
      <c r="J14" s="110">
        <f>(D14+[2]SopäInt!D13)*100/$J$4</f>
        <v>0.22552662445113061</v>
      </c>
      <c r="K14" s="118">
        <f t="shared" si="0"/>
        <v>0.16767223112214663</v>
      </c>
    </row>
    <row r="15" spans="1:11" ht="24.75" customHeight="1">
      <c r="A15" s="52"/>
      <c r="B15" s="46" t="s">
        <v>17</v>
      </c>
      <c r="C15" s="46"/>
      <c r="D15" s="8">
        <f>[2]SopäFö!D15</f>
        <v>10762</v>
      </c>
      <c r="E15" s="7">
        <f>[2]SopäFö!E15</f>
        <v>1483</v>
      </c>
      <c r="F15" s="89"/>
      <c r="G15" s="80"/>
      <c r="H15" s="109">
        <f>IFERROR(D15*100/(D15+[2]SopäInt!D14),0)</f>
        <v>92.799862033284469</v>
      </c>
      <c r="I15" s="106">
        <f>IFERROR([2]SopäInt!D14*100/([2]SopäInt!D14+[2]SopäFö!D15),0)</f>
        <v>7.2001379667155296</v>
      </c>
      <c r="J15" s="109">
        <f>(D15+[2]SopäInt!D14)*100/$J$4</f>
        <v>1.0196617012708624</v>
      </c>
      <c r="K15" s="116">
        <f t="shared" si="0"/>
        <v>0.94624465198560148</v>
      </c>
    </row>
    <row r="16" spans="1:11" ht="24.75" customHeight="1">
      <c r="A16" s="40"/>
      <c r="B16" s="41" t="s">
        <v>18</v>
      </c>
      <c r="C16" s="41"/>
      <c r="D16" s="42">
        <f>[2]SopäFö!D16</f>
        <v>2834</v>
      </c>
      <c r="E16" s="87">
        <f>[2]SopäFö!E16</f>
        <v>210</v>
      </c>
      <c r="F16" s="89"/>
      <c r="G16" s="80"/>
      <c r="H16" s="110">
        <f>IFERROR(D16*100/(D16+[2]SopäInt!D15),0)</f>
        <v>41.688731979994117</v>
      </c>
      <c r="I16" s="111">
        <f>IFERROR([2]SopäInt!D15*100/([2]SopäInt!D15+[2]SopäFö!D16),0)</f>
        <v>58.311268020005883</v>
      </c>
      <c r="J16" s="110">
        <f>(D16+[2]SopäInt!D15)*100/$J$4</f>
        <v>0.59771149825293801</v>
      </c>
      <c r="K16" s="118">
        <f t="shared" si="0"/>
        <v>0.24917834452027454</v>
      </c>
    </row>
    <row r="17" spans="1:11" ht="24.75" customHeight="1">
      <c r="A17" s="45"/>
      <c r="B17" s="46" t="s">
        <v>19</v>
      </c>
      <c r="C17" s="46"/>
      <c r="D17" s="8">
        <f>[2]SopäFö!D17</f>
        <v>2128</v>
      </c>
      <c r="E17" s="7">
        <f>[2]SopäFö!E17</f>
        <v>238</v>
      </c>
      <c r="F17" s="89"/>
      <c r="G17" s="80"/>
      <c r="H17" s="109">
        <f>IFERROR(D17*100/(D17+[2]SopäInt!D16),0)</f>
        <v>100</v>
      </c>
      <c r="I17" s="106">
        <f>IFERROR([2]SopäInt!D16*100/([2]SopäInt!D16+[2]SopäFö!D17),0)</f>
        <v>0</v>
      </c>
      <c r="J17" s="109">
        <f>(D17+[2]SopäInt!D16)*100/$J$4</f>
        <v>0.18710356991501206</v>
      </c>
      <c r="K17" s="116">
        <f t="shared" si="0"/>
        <v>0.18710356991501206</v>
      </c>
    </row>
    <row r="18" spans="1:11" ht="24.75" customHeight="1">
      <c r="A18" s="50"/>
      <c r="B18" s="41" t="s">
        <v>20</v>
      </c>
      <c r="C18" s="41"/>
      <c r="D18" s="42">
        <f>[2]SopäFö!D18</f>
        <v>19755</v>
      </c>
      <c r="E18" s="87">
        <f>[2]SopäFö!E18</f>
        <v>2381</v>
      </c>
      <c r="F18" s="89"/>
      <c r="G18" s="80"/>
      <c r="H18" s="110">
        <f>IFERROR(D18*100/(D18+[2]SopäInt!D17),0)</f>
        <v>100</v>
      </c>
      <c r="I18" s="111">
        <f>IFERROR([2]SopäInt!D17*100/([2]SopäInt!D17+[2]SopäFö!D18),0)</f>
        <v>0</v>
      </c>
      <c r="J18" s="110">
        <f>(D18+[2]SopäInt!D17)*100/$J$4</f>
        <v>1.7369506690183569</v>
      </c>
      <c r="K18" s="118">
        <f t="shared" si="0"/>
        <v>1.7369506690183569</v>
      </c>
    </row>
    <row r="19" spans="1:11" ht="24.75" customHeight="1">
      <c r="A19" s="97"/>
      <c r="B19" s="147" t="s">
        <v>21</v>
      </c>
      <c r="C19" s="148"/>
      <c r="D19" s="8">
        <f>[2]SopäFö!D19</f>
        <v>10053</v>
      </c>
      <c r="E19" s="7">
        <f>[2]SopäFö!E19</f>
        <v>1601</v>
      </c>
      <c r="F19" s="89"/>
      <c r="G19" s="80"/>
      <c r="H19" s="109">
        <f>IFERROR(D19*100/(D19+[2]SopäInt!D18),0)</f>
        <v>100</v>
      </c>
      <c r="I19" s="106">
        <f>IFERROR([2]SopäInt!D18*100/([2]SopäInt!D18+[2]SopäFö!D19),0)</f>
        <v>0</v>
      </c>
      <c r="J19" s="109">
        <f>(D19+[2]SopäInt!D18)*100/$J$4</f>
        <v>0.88390610355057164</v>
      </c>
      <c r="K19" s="116">
        <f t="shared" si="0"/>
        <v>0.88390610355057164</v>
      </c>
    </row>
    <row r="20" spans="1:11" ht="24.75" customHeight="1">
      <c r="A20" s="98" t="s">
        <v>82</v>
      </c>
      <c r="B20" s="94"/>
      <c r="C20" s="94"/>
      <c r="D20" s="95">
        <f>[2]SopäFö!D20</f>
        <v>2738</v>
      </c>
      <c r="E20" s="96">
        <f>[2]SopäFö!E20</f>
        <v>181</v>
      </c>
      <c r="F20" s="33">
        <f>[2]SKL!E43</f>
        <v>222</v>
      </c>
      <c r="G20" s="78">
        <f>[2]SKL!F43</f>
        <v>247</v>
      </c>
      <c r="H20" s="112">
        <f>IFERROR(D20*100/(D20+[2]SopäInt!D19),0)</f>
        <v>100</v>
      </c>
      <c r="I20" s="113">
        <f>IFERROR([2]SopäInt!D19*100/([2]SopäInt!D19+[2]SopäFö!D20),0)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[3]SKL!C2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2.450000000000003" customHeight="1">
      <c r="A3" s="163" t="s">
        <v>2</v>
      </c>
      <c r="B3" s="164"/>
      <c r="C3" s="81" t="s">
        <v>24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3.9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[3]SopäFö!$J$4</f>
        <v>302292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[3]SKL!D40</f>
        <v>8151</v>
      </c>
      <c r="E8" s="83">
        <f>SUM(E9,E10,E20)</f>
        <v>1122</v>
      </c>
      <c r="F8" s="83">
        <f>[3]SKL!E40</f>
        <v>1041</v>
      </c>
      <c r="G8" s="84">
        <f>[3]SKL!F40</f>
        <v>1599</v>
      </c>
      <c r="H8" s="103">
        <f>IFERROR(D8*100/(D8+[3]SopäInt!D7),0)</f>
        <v>32.814009661835748</v>
      </c>
      <c r="I8" s="104">
        <f>IFERROR([3]SopäInt!D7*100/([3]SopäInt!D7+[3]SopäFö!D8),0)</f>
        <v>67.185990338164245</v>
      </c>
      <c r="J8" s="103">
        <f>(D8-D20+[3]SopäInt!D7-[3]SopäInt!D19)*100/$J$4</f>
        <v>7.9340505206886061</v>
      </c>
      <c r="K8" s="115">
        <f>(D8-D20)*100/$J$4</f>
        <v>2.4568959813690077</v>
      </c>
    </row>
    <row r="9" spans="1:11" ht="24.75" customHeight="1" thickTop="1">
      <c r="A9" s="142" t="s">
        <v>11</v>
      </c>
      <c r="B9" s="143"/>
      <c r="C9" s="143"/>
      <c r="D9" s="23">
        <f>[3]SKL!D41</f>
        <v>966</v>
      </c>
      <c r="E9" s="7">
        <f>[3]SopäFö!E9</f>
        <v>126</v>
      </c>
      <c r="F9" s="24">
        <f>[3]SKL!E41</f>
        <v>94</v>
      </c>
      <c r="G9" s="79">
        <f>[3]SKL!F41</f>
        <v>175</v>
      </c>
      <c r="H9" s="105">
        <f>IFERROR(D9*100/(D9+[3]SopäInt!D8),0)</f>
        <v>15.875102711585868</v>
      </c>
      <c r="I9" s="106">
        <f>IFERROR([3]SopäInt!D8*100/([3]SopäInt!D8+[3]SopäFö!D9),0)</f>
        <v>84.124897288414132</v>
      </c>
      <c r="J9" s="105">
        <f>(D9+[3]SopäInt!D8)*100/$J$4</f>
        <v>2.0129543620075951</v>
      </c>
      <c r="K9" s="116">
        <f>D9*100/$J$4</f>
        <v>0.31955857250605374</v>
      </c>
    </row>
    <row r="10" spans="1:11" ht="24.75" customHeight="1">
      <c r="A10" s="144" t="s">
        <v>12</v>
      </c>
      <c r="B10" s="145"/>
      <c r="C10" s="146"/>
      <c r="D10" s="22">
        <f>SUM(D11:D19)</f>
        <v>6461</v>
      </c>
      <c r="E10" s="33">
        <f>SUM(E11:E19)</f>
        <v>946</v>
      </c>
      <c r="F10" s="33">
        <f>[3]SKL!E42</f>
        <v>870</v>
      </c>
      <c r="G10" s="78">
        <f>[3]SKL!F42</f>
        <v>1208</v>
      </c>
      <c r="H10" s="107">
        <f>IFERROR(D10*100/(D10+[3]SopäInt!D9),0)</f>
        <v>36.09698865858428</v>
      </c>
      <c r="I10" s="108">
        <f>IFERROR([3]SopäInt!D9*100/([3]SopäInt!D9+[3]SopäFö!D10),0)</f>
        <v>63.90301134141572</v>
      </c>
      <c r="J10" s="107">
        <f>(D10+[3]SopäInt!D9)*100/$J$4</f>
        <v>5.92109615868101</v>
      </c>
      <c r="K10" s="117">
        <f t="shared" ref="K10:K19" si="0">D10*100/$J$4</f>
        <v>2.1373374088629538</v>
      </c>
    </row>
    <row r="11" spans="1:11" ht="24.75" customHeight="1">
      <c r="A11" s="36"/>
      <c r="B11" s="36" t="s">
        <v>13</v>
      </c>
      <c r="C11" s="85"/>
      <c r="D11" s="8">
        <f>[3]SopäFö!D11</f>
        <v>96</v>
      </c>
      <c r="E11" s="7">
        <f>[3]SopäFö!E11</f>
        <v>14</v>
      </c>
      <c r="F11" s="88"/>
      <c r="G11" s="80"/>
      <c r="H11" s="109">
        <f>IFERROR(D11*100/(D11+[3]SopäInt!D10),0)</f>
        <v>30.379746835443036</v>
      </c>
      <c r="I11" s="106">
        <f>IFERROR([3]SopäInt!D10*100/([3]SopäInt!D10+[3]SopäFö!D11),0)</f>
        <v>69.620253164556956</v>
      </c>
      <c r="J11" s="109">
        <f>(D11+[3]SopäInt!D10)*100/$J$4</f>
        <v>0.10453468831460971</v>
      </c>
      <c r="K11" s="116">
        <f t="shared" si="0"/>
        <v>3.1757373665197888E-2</v>
      </c>
    </row>
    <row r="12" spans="1:11" ht="24.75" customHeight="1">
      <c r="A12" s="40"/>
      <c r="B12" s="41" t="s">
        <v>14</v>
      </c>
      <c r="C12" s="41"/>
      <c r="D12" s="42">
        <f>[3]SopäFö!D12</f>
        <v>379</v>
      </c>
      <c r="E12" s="87">
        <f>[3]SopäFö!E12</f>
        <v>66</v>
      </c>
      <c r="F12" s="89"/>
      <c r="G12" s="80"/>
      <c r="H12" s="110">
        <f>IFERROR(D12*100/(D12+[3]SopäInt!D11),0)</f>
        <v>43.019296254256524</v>
      </c>
      <c r="I12" s="111">
        <f>IFERROR([3]SopäInt!D11*100/([3]SopäInt!D11+[3]SopäFö!D12),0)</f>
        <v>56.980703745743476</v>
      </c>
      <c r="J12" s="110">
        <f>(D12+[3]SopäInt!D11)*100/$J$4</f>
        <v>0.29144006457332644</v>
      </c>
      <c r="K12" s="118">
        <f t="shared" si="0"/>
        <v>0.12537546478239583</v>
      </c>
    </row>
    <row r="13" spans="1:11" ht="24.75" customHeight="1">
      <c r="A13" s="45"/>
      <c r="B13" s="46" t="s">
        <v>15</v>
      </c>
      <c r="C13" s="86"/>
      <c r="D13" s="8">
        <f>[3]SopäFö!D13</f>
        <v>923</v>
      </c>
      <c r="E13" s="7">
        <f>[3]SopäFö!E13</f>
        <v>89</v>
      </c>
      <c r="F13" s="89"/>
      <c r="G13" s="80"/>
      <c r="H13" s="109">
        <f>IFERROR(D13*100/(D13+[3]SopäInt!D12),0)</f>
        <v>23.367088607594937</v>
      </c>
      <c r="I13" s="106">
        <f>IFERROR([3]SopäInt!D12*100/([3]SopäInt!D12+[3]SopäFö!D13),0)</f>
        <v>76.632911392405063</v>
      </c>
      <c r="J13" s="109">
        <f>(D13+[3]SopäInt!D12)*100/$J$4</f>
        <v>1.3066836039326215</v>
      </c>
      <c r="K13" s="116">
        <f t="shared" si="0"/>
        <v>0.30533391555185052</v>
      </c>
    </row>
    <row r="14" spans="1:11" ht="24.75" customHeight="1">
      <c r="A14" s="50"/>
      <c r="B14" s="41" t="s">
        <v>16</v>
      </c>
      <c r="C14" s="51"/>
      <c r="D14" s="42">
        <f>[3]SopäFö!D14</f>
        <v>1000</v>
      </c>
      <c r="E14" s="87">
        <f>[3]SopäFö!E14</f>
        <v>79</v>
      </c>
      <c r="F14" s="89"/>
      <c r="G14" s="80"/>
      <c r="H14" s="110">
        <f>IFERROR(D14*100/(D14+[3]SopäInt!D13),0)</f>
        <v>36.873156342182888</v>
      </c>
      <c r="I14" s="111">
        <f>IFERROR([3]SopäInt!D13*100/([3]SopäInt!D13+[3]SopäFö!D14),0)</f>
        <v>63.126843657817112</v>
      </c>
      <c r="J14" s="110">
        <f>(D14+[3]SopäInt!D13)*100/$J$4</f>
        <v>0.89714580604184035</v>
      </c>
      <c r="K14" s="118">
        <f t="shared" si="0"/>
        <v>0.33080597567914466</v>
      </c>
    </row>
    <row r="15" spans="1:11" ht="24.75" customHeight="1">
      <c r="A15" s="52"/>
      <c r="B15" s="46" t="s">
        <v>17</v>
      </c>
      <c r="C15" s="46"/>
      <c r="D15" s="8">
        <f>[3]SopäFö!D15</f>
        <v>2747</v>
      </c>
      <c r="E15" s="7">
        <f>[3]SopäFö!E15</f>
        <v>518</v>
      </c>
      <c r="F15" s="89"/>
      <c r="G15" s="80"/>
      <c r="H15" s="109">
        <f>IFERROR(D15*100/(D15+[3]SopäInt!D14),0)</f>
        <v>67.576875768757688</v>
      </c>
      <c r="I15" s="106">
        <f>IFERROR([3]SopäInt!D14*100/([3]SopäInt!D14+[3]SopäFö!D15),0)</f>
        <v>32.423124231242312</v>
      </c>
      <c r="J15" s="109">
        <f>(D15+[3]SopäInt!D14)*100/$J$4</f>
        <v>1.3447262911357232</v>
      </c>
      <c r="K15" s="116">
        <f t="shared" si="0"/>
        <v>0.90872401519061041</v>
      </c>
    </row>
    <row r="16" spans="1:11" ht="24.75" customHeight="1">
      <c r="A16" s="40"/>
      <c r="B16" s="41" t="s">
        <v>18</v>
      </c>
      <c r="C16" s="41"/>
      <c r="D16" s="42">
        <f>[3]SopäFö!D16</f>
        <v>1216</v>
      </c>
      <c r="E16" s="87">
        <f>[3]SopäFö!E16</f>
        <v>170</v>
      </c>
      <c r="F16" s="89"/>
      <c r="G16" s="80"/>
      <c r="H16" s="110">
        <f>IFERROR(D16*100/(D16+[3]SopäInt!D15),0)</f>
        <v>23.443223443223442</v>
      </c>
      <c r="I16" s="111">
        <f>IFERROR([3]SopäInt!D15*100/([3]SopäInt!D15+[3]SopäFö!D16),0)</f>
        <v>76.556776556776555</v>
      </c>
      <c r="J16" s="110">
        <f>(D16+[3]SopäInt!D15)*100/$J$4</f>
        <v>1.7158905958477233</v>
      </c>
      <c r="K16" s="118">
        <f t="shared" si="0"/>
        <v>0.40226006642583989</v>
      </c>
    </row>
    <row r="17" spans="1:11" ht="24.75" customHeight="1">
      <c r="A17" s="45"/>
      <c r="B17" s="46" t="s">
        <v>19</v>
      </c>
      <c r="C17" s="46"/>
      <c r="D17" s="8">
        <f>[3]SopäFö!D17</f>
        <v>100</v>
      </c>
      <c r="E17" s="7">
        <f>[3]SopäFö!E17</f>
        <v>10</v>
      </c>
      <c r="F17" s="89"/>
      <c r="G17" s="80"/>
      <c r="H17" s="109">
        <f>IFERROR(D17*100/(D17+[3]SopäInt!D16),0)</f>
        <v>12.690355329949238</v>
      </c>
      <c r="I17" s="106">
        <f>IFERROR([3]SopäInt!D16*100/([3]SopäInt!D16+[3]SopäFö!D17),0)</f>
        <v>87.309644670050758</v>
      </c>
      <c r="J17" s="109">
        <f>(D17+[3]SopäInt!D16)*100/$J$4</f>
        <v>0.26067510883516598</v>
      </c>
      <c r="K17" s="116">
        <f t="shared" si="0"/>
        <v>3.3080597567914469E-2</v>
      </c>
    </row>
    <row r="18" spans="1:11" ht="24.75" customHeight="1">
      <c r="A18" s="50"/>
      <c r="B18" s="41" t="s">
        <v>20</v>
      </c>
      <c r="C18" s="41"/>
      <c r="D18" s="42">
        <f>[3]SopäFö!D18</f>
        <v>0</v>
      </c>
      <c r="E18" s="87">
        <f>[3]SopäFö!E18</f>
        <v>0</v>
      </c>
      <c r="F18" s="89"/>
      <c r="G18" s="80"/>
      <c r="H18" s="110">
        <f>IFERROR(D18*100/(D18+[3]SopäInt!D17),0)</f>
        <v>0</v>
      </c>
      <c r="I18" s="111">
        <f>IFERROR([3]SopäInt!D17*100/([3]SopäInt!D17+[3]SopäFö!D18),0)</f>
        <v>0</v>
      </c>
      <c r="J18" s="110">
        <f>(D18+[3]SopäInt!D17)*100/$J$4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[3]SopäFö!D19</f>
        <v>0</v>
      </c>
      <c r="E19" s="7">
        <f>[3]SopäFö!E19</f>
        <v>0</v>
      </c>
      <c r="F19" s="89"/>
      <c r="G19" s="80"/>
      <c r="H19" s="109">
        <f>IFERROR(D19*100/(D19+[3]SopäInt!D18),0)</f>
        <v>0</v>
      </c>
      <c r="I19" s="106">
        <f>IFERROR([3]SopäInt!D18*100/([3]SopäInt!D18+[3]SopäFö!D19),0)</f>
        <v>0</v>
      </c>
      <c r="J19" s="109">
        <f>(D19+[3]SopäInt!D18)*100/$J$4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[3]SopäFö!D20</f>
        <v>724</v>
      </c>
      <c r="E20" s="96">
        <f>[3]SopäFö!E20</f>
        <v>50</v>
      </c>
      <c r="F20" s="33">
        <f>[3]SKL!E43</f>
        <v>77</v>
      </c>
      <c r="G20" s="78">
        <f>[3]SKL!F43</f>
        <v>216</v>
      </c>
      <c r="H20" s="112">
        <f>IFERROR(D20*100/(D20+[3]SopäInt!D19),0)</f>
        <v>84.579439252336442</v>
      </c>
      <c r="I20" s="113">
        <f>IFERROR([3]SopäInt!D19*100/([3]SopäInt!D19+[3]SopäFö!D20),0)</f>
        <v>15.420560747663551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/>
  <dimension ref="A1:K93"/>
  <sheetViews>
    <sheetView zoomScaleNormal="100" workbookViewId="0">
      <selection activeCell="H9" sqref="H9"/>
    </sheetView>
  </sheetViews>
  <sheetFormatPr baseColWidth="10" defaultColWidth="12" defaultRowHeight="12.75"/>
  <cols>
    <col min="1" max="1" width="2.33203125" style="1" customWidth="1"/>
    <col min="2" max="3" width="20.33203125" style="1" customWidth="1"/>
    <col min="4" max="7" width="11" style="1" customWidth="1"/>
    <col min="8" max="11" width="0" style="1" hidden="1" customWidth="1"/>
    <col min="12" max="16384" width="12" style="1"/>
  </cols>
  <sheetData>
    <row r="1" spans="1:11" ht="30" customHeight="1">
      <c r="A1" s="149" t="s">
        <v>0</v>
      </c>
      <c r="B1" s="150"/>
      <c r="C1" s="151"/>
      <c r="D1" s="152"/>
      <c r="E1" s="153"/>
      <c r="F1" s="153"/>
      <c r="G1" s="154"/>
      <c r="H1" s="155" t="s">
        <v>83</v>
      </c>
      <c r="I1" s="184"/>
      <c r="J1" s="184"/>
      <c r="K1" s="185"/>
    </row>
    <row r="2" spans="1:11" ht="16.5" customHeight="1">
      <c r="A2" s="161" t="s">
        <v>1</v>
      </c>
      <c r="B2" s="162"/>
      <c r="C2" s="81" t="str">
        <f>[4]SKL!C2</f>
        <v>2017/18</v>
      </c>
      <c r="D2" s="155"/>
      <c r="E2" s="156"/>
      <c r="F2" s="156"/>
      <c r="G2" s="157"/>
      <c r="H2" s="193"/>
      <c r="I2" s="194"/>
      <c r="J2" s="194"/>
      <c r="K2" s="195"/>
    </row>
    <row r="3" spans="1:11" ht="34.15" customHeight="1">
      <c r="A3" s="163" t="s">
        <v>2</v>
      </c>
      <c r="B3" s="164"/>
      <c r="C3" s="81" t="s">
        <v>25</v>
      </c>
      <c r="D3" s="158"/>
      <c r="E3" s="159"/>
      <c r="F3" s="159"/>
      <c r="G3" s="160"/>
      <c r="H3" s="100"/>
      <c r="I3" s="101"/>
      <c r="J3" s="196" t="s">
        <v>84</v>
      </c>
      <c r="K3" s="197"/>
    </row>
    <row r="4" spans="1:11" ht="14.25" customHeight="1">
      <c r="A4" s="2"/>
      <c r="B4" s="3"/>
      <c r="C4" s="3"/>
      <c r="D4" s="3"/>
      <c r="E4" s="3"/>
      <c r="F4" s="3"/>
      <c r="G4" s="4"/>
      <c r="H4" s="181" t="s">
        <v>74</v>
      </c>
      <c r="I4" s="183"/>
      <c r="J4" s="191">
        <f>[4]SopäFö!$J$4</f>
        <v>217970</v>
      </c>
      <c r="K4" s="192"/>
    </row>
    <row r="5" spans="1:11" ht="24" customHeight="1">
      <c r="A5" s="165" t="s">
        <v>3</v>
      </c>
      <c r="B5" s="166"/>
      <c r="C5" s="167"/>
      <c r="D5" s="171" t="s">
        <v>4</v>
      </c>
      <c r="E5" s="172"/>
      <c r="F5" s="172"/>
      <c r="G5" s="172"/>
      <c r="H5" s="155"/>
      <c r="I5" s="185"/>
      <c r="J5" s="186" t="s">
        <v>76</v>
      </c>
      <c r="K5" s="185" t="s">
        <v>77</v>
      </c>
    </row>
    <row r="6" spans="1:11" ht="19.5" customHeight="1">
      <c r="A6" s="168"/>
      <c r="B6" s="169"/>
      <c r="C6" s="170"/>
      <c r="D6" s="172" t="s">
        <v>5</v>
      </c>
      <c r="E6" s="5" t="s">
        <v>6</v>
      </c>
      <c r="F6" s="172" t="s">
        <v>7</v>
      </c>
      <c r="G6" s="173" t="s">
        <v>8</v>
      </c>
      <c r="H6" s="193"/>
      <c r="I6" s="195"/>
      <c r="J6" s="186"/>
      <c r="K6" s="185"/>
    </row>
    <row r="7" spans="1:11" ht="19.5" customHeight="1">
      <c r="A7" s="168"/>
      <c r="B7" s="169"/>
      <c r="C7" s="170"/>
      <c r="D7" s="173"/>
      <c r="E7" s="6" t="s">
        <v>9</v>
      </c>
      <c r="F7" s="173"/>
      <c r="G7" s="174"/>
      <c r="H7" s="102" t="s">
        <v>72</v>
      </c>
      <c r="I7" s="102" t="s">
        <v>73</v>
      </c>
      <c r="J7" s="186"/>
      <c r="K7" s="185"/>
    </row>
    <row r="8" spans="1:11" ht="33" customHeight="1" thickBot="1">
      <c r="A8" s="140" t="s">
        <v>10</v>
      </c>
      <c r="B8" s="141"/>
      <c r="C8" s="141"/>
      <c r="D8" s="82">
        <f>[4]SKL!D40</f>
        <v>8728</v>
      </c>
      <c r="E8" s="83">
        <f>SUM(E9,E10,E20)</f>
        <v>235</v>
      </c>
      <c r="F8" s="83">
        <f>[4]SKL!E40</f>
        <v>970.82999999999993</v>
      </c>
      <c r="G8" s="84">
        <f>[4]SKL!F40</f>
        <v>1789</v>
      </c>
      <c r="H8" s="103">
        <f>IFERROR(D8*100/(D8+[4]SopäInt!D7),0)</f>
        <v>51.073790157411203</v>
      </c>
      <c r="I8" s="104">
        <f>IFERROR([4]SopäInt!D7*100/([4]SopäInt!D7+[4]SopäFö!D8),0)</f>
        <v>48.926209842588797</v>
      </c>
      <c r="J8" s="103">
        <f>(D8-D20+[4]SopäInt!D7-[4]SopäInt!D19)*100/$J$4</f>
        <v>7.8400697343671144</v>
      </c>
      <c r="K8" s="115">
        <f>(D8-D20)*100/$J$4</f>
        <v>4.0042207643253658</v>
      </c>
    </row>
    <row r="9" spans="1:11" ht="24.75" customHeight="1" thickTop="1">
      <c r="A9" s="142" t="s">
        <v>11</v>
      </c>
      <c r="B9" s="143"/>
      <c r="C9" s="143"/>
      <c r="D9" s="23">
        <f>[4]SKL!D41</f>
        <v>4197</v>
      </c>
      <c r="E9" s="7">
        <f>[4]SopäFö!E9</f>
        <v>68</v>
      </c>
      <c r="F9" s="24">
        <f>[4]SKL!E41</f>
        <v>395.41</v>
      </c>
      <c r="G9" s="79">
        <f>[4]SKL!F41</f>
        <v>609</v>
      </c>
      <c r="H9" s="105">
        <f>IFERROR(D9*100/(D9+[4]SopäInt!D8),0)</f>
        <v>58.348394272209092</v>
      </c>
      <c r="I9" s="106">
        <f>IFERROR([4]SopäInt!D8*100/([4]SopäInt!D8+[4]SopäFö!D9),0)</f>
        <v>41.651605727790908</v>
      </c>
      <c r="J9" s="105">
        <f>(D9+[4]SopäInt!D8)*100/$J$4</f>
        <v>3.2999954122126898</v>
      </c>
      <c r="K9" s="116">
        <f>D9*100/$J$4</f>
        <v>1.925494334082672</v>
      </c>
    </row>
    <row r="10" spans="1:11" ht="24.75" customHeight="1">
      <c r="A10" s="144" t="s">
        <v>12</v>
      </c>
      <c r="B10" s="145"/>
      <c r="C10" s="146"/>
      <c r="D10" s="22">
        <f>SUM(D11:D19)</f>
        <v>4531</v>
      </c>
      <c r="E10" s="33">
        <f>SUM(E11:E19)</f>
        <v>167</v>
      </c>
      <c r="F10" s="33">
        <f>[4]SKL!E42</f>
        <v>575.41999999999996</v>
      </c>
      <c r="G10" s="78">
        <f>[4]SKL!F42</f>
        <v>1180</v>
      </c>
      <c r="H10" s="107">
        <f>IFERROR(D10*100/(D10+[4]SopäInt!D9),0)</f>
        <v>45.78617623282134</v>
      </c>
      <c r="I10" s="108">
        <f>IFERROR([4]SopäInt!D9*100/([4]SopäInt!D9+[4]SopäFö!D10),0)</f>
        <v>54.21382376717866</v>
      </c>
      <c r="J10" s="107">
        <f>(D10+[4]SopäInt!D9)*100/$J$4</f>
        <v>4.5400743221544246</v>
      </c>
      <c r="K10" s="117">
        <f t="shared" ref="K10:K19" si="0">D10*100/$J$4</f>
        <v>2.078726430242694</v>
      </c>
    </row>
    <row r="11" spans="1:11" ht="24.75" customHeight="1">
      <c r="A11" s="36"/>
      <c r="B11" s="36" t="s">
        <v>13</v>
      </c>
      <c r="C11" s="85"/>
      <c r="D11" s="8">
        <f>[4]SopäFö!D11</f>
        <v>106</v>
      </c>
      <c r="E11" s="7">
        <f>[4]SopäFö!E11</f>
        <v>4</v>
      </c>
      <c r="F11" s="88"/>
      <c r="G11" s="80"/>
      <c r="H11" s="109">
        <f>IFERROR(D11*100/(D11+[4]SopäInt!D10),0)</f>
        <v>33.333333333333336</v>
      </c>
      <c r="I11" s="106">
        <f>IFERROR([4]SopäInt!D10*100/([4]SopäInt!D10+[4]SopäFö!D11),0)</f>
        <v>66.666666666666671</v>
      </c>
      <c r="J11" s="109">
        <f>(D11+[4]SopäInt!D10)*100/$J$4</f>
        <v>0.14589163646373354</v>
      </c>
      <c r="K11" s="116">
        <f t="shared" si="0"/>
        <v>4.8630545487911181E-2</v>
      </c>
    </row>
    <row r="12" spans="1:11" ht="24.75" customHeight="1">
      <c r="A12" s="40"/>
      <c r="B12" s="41" t="s">
        <v>14</v>
      </c>
      <c r="C12" s="41"/>
      <c r="D12" s="42">
        <f>[4]SopäFö!D12</f>
        <v>221</v>
      </c>
      <c r="E12" s="87">
        <f>[4]SopäFö!E12</f>
        <v>14</v>
      </c>
      <c r="F12" s="89"/>
      <c r="G12" s="80"/>
      <c r="H12" s="110">
        <f>IFERROR(D12*100/(D12+[4]SopäInt!D11),0)</f>
        <v>34.693877551020407</v>
      </c>
      <c r="I12" s="111">
        <f>IFERROR([4]SopäInt!D11*100/([4]SopäInt!D11+[4]SopäFö!D12),0)</f>
        <v>65.306122448979593</v>
      </c>
      <c r="J12" s="110">
        <f>(D12+[4]SopäInt!D11)*100/$J$4</f>
        <v>0.2922420516584851</v>
      </c>
      <c r="K12" s="118">
        <f t="shared" si="0"/>
        <v>0.10139009955498463</v>
      </c>
    </row>
    <row r="13" spans="1:11" ht="24.75" customHeight="1">
      <c r="A13" s="45"/>
      <c r="B13" s="46" t="s">
        <v>15</v>
      </c>
      <c r="C13" s="86"/>
      <c r="D13" s="8">
        <f>[4]SopäFö!D13</f>
        <v>167</v>
      </c>
      <c r="E13" s="7">
        <f>[4]SopäFö!E13</f>
        <v>6</v>
      </c>
      <c r="F13" s="89"/>
      <c r="G13" s="80"/>
      <c r="H13" s="109">
        <f>IFERROR(D13*100/(D13+[4]SopäInt!D12),0)</f>
        <v>16.633466135458168</v>
      </c>
      <c r="I13" s="106">
        <f>IFERROR([4]SopäInt!D12*100/([4]SopäInt!D12+[4]SopäFö!D13),0)</f>
        <v>83.366533864541836</v>
      </c>
      <c r="J13" s="109">
        <f>(D13+[4]SopäInt!D12)*100/$J$4</f>
        <v>0.46061384594210214</v>
      </c>
      <c r="K13" s="116">
        <f t="shared" si="0"/>
        <v>7.6616048080011004E-2</v>
      </c>
    </row>
    <row r="14" spans="1:11" ht="24.75" customHeight="1">
      <c r="A14" s="50"/>
      <c r="B14" s="41" t="s">
        <v>16</v>
      </c>
      <c r="C14" s="51"/>
      <c r="D14" s="42">
        <f>[4]SopäFö!D14</f>
        <v>267</v>
      </c>
      <c r="E14" s="87">
        <f>[4]SopäFö!E14</f>
        <v>3</v>
      </c>
      <c r="F14" s="89"/>
      <c r="G14" s="80"/>
      <c r="H14" s="110">
        <f>IFERROR(D14*100/(D14+[4]SopäInt!D13),0)</f>
        <v>24.316939890710383</v>
      </c>
      <c r="I14" s="111">
        <f>IFERROR([4]SopäInt!D13*100/([4]SopäInt!D13+[4]SopäFö!D14),0)</f>
        <v>75.683060109289613</v>
      </c>
      <c r="J14" s="110">
        <f>(D14+[4]SopäInt!D13)*100/$J$4</f>
        <v>0.5037390466577969</v>
      </c>
      <c r="K14" s="118">
        <f t="shared" si="0"/>
        <v>0.12249392118181401</v>
      </c>
    </row>
    <row r="15" spans="1:11" ht="24.75" customHeight="1">
      <c r="A15" s="52"/>
      <c r="B15" s="46" t="s">
        <v>17</v>
      </c>
      <c r="C15" s="46"/>
      <c r="D15" s="8">
        <f>[4]SopäFö!D15</f>
        <v>3335</v>
      </c>
      <c r="E15" s="7">
        <f>[4]SopäFö!E15</f>
        <v>133</v>
      </c>
      <c r="F15" s="89"/>
      <c r="G15" s="80"/>
      <c r="H15" s="109">
        <f>IFERROR(D15*100/(D15+[4]SopäInt!D14),0)</f>
        <v>91.34483703095043</v>
      </c>
      <c r="I15" s="106">
        <f>IFERROR([4]SopäInt!D14*100/([4]SopäInt!D14+[4]SopäFö!D15),0)</f>
        <v>8.6551629690495755</v>
      </c>
      <c r="J15" s="109">
        <f>(D15+[4]SopäInt!D14)*100/$J$4</f>
        <v>1.6750011469468276</v>
      </c>
      <c r="K15" s="116">
        <f t="shared" si="0"/>
        <v>1.53002706794513</v>
      </c>
    </row>
    <row r="16" spans="1:11" ht="24.75" customHeight="1">
      <c r="A16" s="40"/>
      <c r="B16" s="41" t="s">
        <v>18</v>
      </c>
      <c r="C16" s="41"/>
      <c r="D16" s="42">
        <f>[4]SopäFö!D16</f>
        <v>435</v>
      </c>
      <c r="E16" s="87">
        <f>[4]SopäFö!E16</f>
        <v>7</v>
      </c>
      <c r="F16" s="89"/>
      <c r="G16" s="80"/>
      <c r="H16" s="110">
        <f>IFERROR(D16*100/(D16+[4]SopäInt!D15),0)</f>
        <v>13.64491844416562</v>
      </c>
      <c r="I16" s="111">
        <f>IFERROR([4]SopäInt!D15*100/([4]SopäInt!D15+[4]SopäFö!D16),0)</f>
        <v>86.355081555834374</v>
      </c>
      <c r="J16" s="110">
        <f>(D16+[4]SopäInt!D15)*100/$J$4</f>
        <v>1.4625865944854797</v>
      </c>
      <c r="K16" s="118">
        <f t="shared" si="0"/>
        <v>0.19956874799284305</v>
      </c>
    </row>
    <row r="17" spans="1:11" ht="24.75" customHeight="1">
      <c r="A17" s="45"/>
      <c r="B17" s="46" t="s">
        <v>19</v>
      </c>
      <c r="C17" s="46"/>
      <c r="D17" s="8">
        <f>[4]SopäFö!D17</f>
        <v>0</v>
      </c>
      <c r="E17" s="7">
        <f>[4]SopäFö!E17</f>
        <v>0</v>
      </c>
      <c r="F17" s="89"/>
      <c r="G17" s="80"/>
      <c r="H17" s="109">
        <f>IFERROR(D17*100/(D17+[4]SopäInt!D16),0)</f>
        <v>0</v>
      </c>
      <c r="I17" s="106">
        <f>IFERROR([4]SopäInt!D16*100/([4]SopäInt!D16+[4]SopäFö!D17),0)</f>
        <v>0</v>
      </c>
      <c r="J17" s="109">
        <f>(D17+[4]SopäInt!D16)*100/$J$4</f>
        <v>0</v>
      </c>
      <c r="K17" s="116">
        <f t="shared" si="0"/>
        <v>0</v>
      </c>
    </row>
    <row r="18" spans="1:11" ht="24.75" customHeight="1">
      <c r="A18" s="50"/>
      <c r="B18" s="41" t="s">
        <v>20</v>
      </c>
      <c r="C18" s="41"/>
      <c r="D18" s="42">
        <f>[4]SopäFö!D18</f>
        <v>0</v>
      </c>
      <c r="E18" s="87">
        <f>[4]SopäFö!E18</f>
        <v>0</v>
      </c>
      <c r="F18" s="89"/>
      <c r="G18" s="80"/>
      <c r="H18" s="110">
        <f>IFERROR(D18*100/(D18+[4]SopäInt!D17),0)</f>
        <v>0</v>
      </c>
      <c r="I18" s="111">
        <f>IFERROR([4]SopäInt!D17*100/([4]SopäInt!D17+[4]SopäFö!D18),0)</f>
        <v>0</v>
      </c>
      <c r="J18" s="110">
        <f>(D18+[4]SopäInt!D17)*100/$J$4</f>
        <v>0</v>
      </c>
      <c r="K18" s="118">
        <f t="shared" si="0"/>
        <v>0</v>
      </c>
    </row>
    <row r="19" spans="1:11" ht="24.75" customHeight="1">
      <c r="A19" s="97"/>
      <c r="B19" s="147" t="s">
        <v>21</v>
      </c>
      <c r="C19" s="148"/>
      <c r="D19" s="8">
        <f>[4]SopäFö!D19</f>
        <v>0</v>
      </c>
      <c r="E19" s="7">
        <f>[4]SopäFö!E19</f>
        <v>0</v>
      </c>
      <c r="F19" s="89"/>
      <c r="G19" s="80"/>
      <c r="H19" s="109">
        <f>IFERROR(D19*100/(D19+[4]SopäInt!D18),0)</f>
        <v>0</v>
      </c>
      <c r="I19" s="106">
        <f>IFERROR([4]SopäInt!D18*100/([4]SopäInt!D18+[4]SopäFö!D19),0)</f>
        <v>0</v>
      </c>
      <c r="J19" s="109">
        <f>(D19+[4]SopäInt!D18)*100/$J$4</f>
        <v>0</v>
      </c>
      <c r="K19" s="116">
        <f t="shared" si="0"/>
        <v>0</v>
      </c>
    </row>
    <row r="20" spans="1:11" ht="24.75" customHeight="1">
      <c r="A20" s="98" t="s">
        <v>82</v>
      </c>
      <c r="B20" s="94"/>
      <c r="C20" s="94"/>
      <c r="D20" s="95">
        <f>[4]SopäFö!D20</f>
        <v>0</v>
      </c>
      <c r="E20" s="96">
        <f>[4]SopäFö!E20</f>
        <v>0</v>
      </c>
      <c r="F20" s="33">
        <f>[4]SKL!E43</f>
        <v>0</v>
      </c>
      <c r="G20" s="78">
        <f>[4]SKL!F43</f>
        <v>0</v>
      </c>
      <c r="H20" s="112">
        <f>IFERROR(D20*100/(D20+[4]SopäInt!D19),0)</f>
        <v>0</v>
      </c>
      <c r="I20" s="113">
        <f>IFERROR([4]SopäInt!D19*100/([4]SopäInt!D19+[4]SopäFö!D20),0)</f>
        <v>0</v>
      </c>
      <c r="J20" s="114"/>
      <c r="K20" s="119"/>
    </row>
    <row r="21" spans="1:11" ht="14.25" customHeight="1"/>
    <row r="22" spans="1:11" ht="14.25" customHeight="1"/>
    <row r="23" spans="1:11" ht="14.25" customHeight="1"/>
    <row r="24" spans="1:11" ht="14.25" customHeight="1"/>
    <row r="25" spans="1:11" ht="14.25" customHeight="1"/>
    <row r="26" spans="1:11" ht="14.25" customHeight="1"/>
    <row r="27" spans="1:11" ht="14.25" customHeight="1"/>
    <row r="28" spans="1:11" ht="14.25" customHeight="1"/>
    <row r="29" spans="1:11" ht="14.25" customHeight="1"/>
    <row r="30" spans="1:11" ht="14.25" customHeight="1"/>
    <row r="31" spans="1:11" ht="14.25" customHeight="1"/>
    <row r="32" spans="1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9" customHeight="1"/>
    <row r="48" ht="33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9" customHeight="1"/>
    <row r="75" ht="30" customHeight="1"/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</sheetData>
  <sheetProtection formatCells="0" formatColumns="0" formatRows="0"/>
  <mergeCells count="19">
    <mergeCell ref="D1:G3"/>
    <mergeCell ref="A2:B2"/>
    <mergeCell ref="A3:B3"/>
    <mergeCell ref="A5:C7"/>
    <mergeCell ref="D5:G5"/>
    <mergeCell ref="D6:D7"/>
    <mergeCell ref="F6:F7"/>
    <mergeCell ref="G6:G7"/>
    <mergeCell ref="A8:C8"/>
    <mergeCell ref="A9:C9"/>
    <mergeCell ref="A10:C10"/>
    <mergeCell ref="B19:C19"/>
    <mergeCell ref="A1:C1"/>
    <mergeCell ref="H1:K2"/>
    <mergeCell ref="J3:K3"/>
    <mergeCell ref="H4:I6"/>
    <mergeCell ref="J4:K4"/>
    <mergeCell ref="J5:J7"/>
    <mergeCell ref="K5:K7"/>
  </mergeCells>
  <printOptions horizontalCentered="1" verticalCentered="1" headings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>&amp;R&amp;"Arial,Standard"Seite &amp;P</oddHeader>
    <oddFooter>&amp;C&amp;"Arial,Standard"&amp;F&amp;R&amp;"Arial,Standard"Blatt "&amp;A"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20</vt:i4>
      </vt:variant>
    </vt:vector>
  </HeadingPairs>
  <TitlesOfParts>
    <vt:vector size="41" baseType="lpstr">
      <vt:lpstr>Deckblatt</vt:lpstr>
      <vt:lpstr>Fußnoten</vt:lpstr>
      <vt:lpstr>Erläuterungen</vt:lpstr>
      <vt:lpstr>D</vt:lpstr>
      <vt:lpstr>Quoten D</vt:lpstr>
      <vt:lpstr>BW</vt:lpstr>
      <vt:lpstr>BY</vt:lpstr>
      <vt:lpstr>BE</vt:lpstr>
      <vt:lpstr>BB</vt:lpstr>
      <vt:lpstr>HB</vt:lpstr>
      <vt:lpstr>HH</vt:lpstr>
      <vt:lpstr>HE</vt:lpstr>
      <vt:lpstr>MV</vt:lpstr>
      <vt:lpstr>NI</vt:lpstr>
      <vt:lpstr>NW</vt:lpstr>
      <vt:lpstr>RP</vt:lpstr>
      <vt:lpstr>SL</vt:lpstr>
      <vt:lpstr>SN</vt:lpstr>
      <vt:lpstr>ST</vt:lpstr>
      <vt:lpstr>SH</vt:lpstr>
      <vt:lpstr>TH</vt:lpstr>
      <vt:lpstr>Erläuterungen!Druckbereich</vt:lpstr>
      <vt:lpstr>Fußnoten!Druckbereich</vt:lpstr>
      <vt:lpstr>BB!Drucktitel</vt:lpstr>
      <vt:lpstr>BE!Drucktitel</vt:lpstr>
      <vt:lpstr>BW!Drucktitel</vt:lpstr>
      <vt:lpstr>BY!Drucktitel</vt:lpstr>
      <vt:lpstr>D!Drucktitel</vt:lpstr>
      <vt:lpstr>HB!Drucktitel</vt:lpstr>
      <vt:lpstr>HE!Drucktitel</vt:lpstr>
      <vt:lpstr>HH!Drucktitel</vt:lpstr>
      <vt:lpstr>MV!Drucktitel</vt:lpstr>
      <vt:lpstr>NI!Drucktitel</vt:lpstr>
      <vt:lpstr>NW!Drucktitel</vt:lpstr>
      <vt:lpstr>'Quoten D'!Drucktitel</vt:lpstr>
      <vt:lpstr>RP!Drucktitel</vt:lpstr>
      <vt:lpstr>SH!Drucktitel</vt:lpstr>
      <vt:lpstr>SL!Drucktitel</vt:lpstr>
      <vt:lpstr>SN!Drucktitel</vt:lpstr>
      <vt:lpstr>ST!Drucktitel</vt:lpstr>
      <vt:lpstr>TH!Drucktitel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Henselin</dc:creator>
  <cp:lastModifiedBy>Henselin, Paula</cp:lastModifiedBy>
  <cp:lastPrinted>2020-01-24T07:30:32Z</cp:lastPrinted>
  <dcterms:created xsi:type="dcterms:W3CDTF">2016-09-14T09:26:39Z</dcterms:created>
  <dcterms:modified xsi:type="dcterms:W3CDTF">2020-02-14T10:43:09Z</dcterms:modified>
</cp:coreProperties>
</file>